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FIl13pXaD4VlK7lNfSaOEoHiInrQBhm0naMv6oyMGLnLQmTr3ONTfphMv3Li5TnCt9we4ISN8NyLgEZyyllXjg==" workbookSaltValue="COys92UHD6mGFK3NLzyYaw==" workbookSpinCount="100000" lockStructure="1"/>
  <bookViews>
    <workbookView xWindow="0" yWindow="0" windowWidth="3480" windowHeight="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1" l="1"/>
  <c r="G128" i="1"/>
  <c r="F128" i="1"/>
  <c r="E128" i="1"/>
  <c r="D128" i="1"/>
  <c r="H127" i="1"/>
  <c r="G127" i="1"/>
  <c r="F127" i="1"/>
  <c r="E127" i="1"/>
  <c r="D127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2" i="1"/>
  <c r="G112" i="1"/>
  <c r="F112" i="1"/>
  <c r="E112" i="1"/>
  <c r="D112" i="1"/>
  <c r="H111" i="1"/>
  <c r="G111" i="1"/>
  <c r="F111" i="1"/>
  <c r="E111" i="1"/>
  <c r="D111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1" i="1"/>
  <c r="G71" i="1"/>
  <c r="F71" i="1"/>
  <c r="E71" i="1"/>
  <c r="D71" i="1"/>
  <c r="H70" i="1"/>
  <c r="G70" i="1"/>
  <c r="F70" i="1"/>
  <c r="E70" i="1"/>
  <c r="D70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I63" i="1"/>
  <c r="H63" i="1"/>
  <c r="G63" i="1"/>
  <c r="F63" i="1"/>
  <c r="E63" i="1"/>
  <c r="D63" i="1"/>
  <c r="H61" i="1"/>
  <c r="G61" i="1"/>
  <c r="F61" i="1"/>
  <c r="E61" i="1"/>
  <c r="D61" i="1"/>
  <c r="H53" i="1"/>
  <c r="G53" i="1"/>
  <c r="F53" i="1"/>
  <c r="E53" i="1"/>
  <c r="D53" i="1"/>
  <c r="D59" i="1"/>
  <c r="E59" i="1"/>
  <c r="F59" i="1"/>
  <c r="G59" i="1"/>
  <c r="H59" i="1"/>
  <c r="D54" i="1"/>
  <c r="E54" i="1"/>
  <c r="F54" i="1"/>
  <c r="G54" i="1"/>
  <c r="H54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C33" i="1"/>
  <c r="C34" i="1"/>
  <c r="I27" i="1"/>
  <c r="C32" i="1"/>
  <c r="H33" i="1"/>
  <c r="G33" i="1"/>
  <c r="F33" i="1"/>
  <c r="E33" i="1"/>
  <c r="D33" i="1"/>
  <c r="H31" i="1"/>
  <c r="G31" i="1"/>
  <c r="F31" i="1"/>
  <c r="E31" i="1"/>
  <c r="D31" i="1"/>
  <c r="C31" i="1"/>
  <c r="H30" i="1"/>
  <c r="G30" i="1"/>
  <c r="F30" i="1"/>
  <c r="E30" i="1"/>
  <c r="D30" i="1"/>
  <c r="C30" i="1"/>
  <c r="E29" i="1"/>
  <c r="F29" i="1"/>
  <c r="G29" i="1"/>
  <c r="H29" i="1"/>
  <c r="H28" i="1"/>
  <c r="G28" i="1"/>
  <c r="F28" i="1"/>
  <c r="E28" i="1"/>
  <c r="E27" i="1"/>
  <c r="G27" i="1"/>
  <c r="H27" i="1"/>
  <c r="H26" i="1"/>
  <c r="G26" i="1"/>
  <c r="F27" i="1"/>
  <c r="F26" i="1"/>
  <c r="E26" i="1"/>
  <c r="H24" i="1"/>
  <c r="G24" i="1"/>
  <c r="F24" i="1"/>
  <c r="E24" i="1"/>
  <c r="H23" i="1"/>
  <c r="G23" i="1"/>
  <c r="F23" i="1"/>
  <c r="E23" i="1"/>
  <c r="H22" i="1"/>
  <c r="G22" i="1"/>
  <c r="F22" i="1"/>
  <c r="E22" i="1"/>
  <c r="E21" i="1"/>
  <c r="F21" i="1"/>
  <c r="G21" i="1"/>
  <c r="H21" i="1"/>
  <c r="H20" i="1"/>
  <c r="G20" i="1"/>
  <c r="F20" i="1"/>
  <c r="E20" i="1"/>
  <c r="E19" i="1"/>
  <c r="F19" i="1"/>
  <c r="G19" i="1"/>
  <c r="H19" i="1"/>
  <c r="H18" i="1"/>
  <c r="G18" i="1"/>
  <c r="F18" i="1"/>
  <c r="E18" i="1"/>
  <c r="H17" i="1"/>
  <c r="G17" i="1"/>
  <c r="F17" i="1"/>
  <c r="E17" i="1"/>
  <c r="H73" i="1"/>
  <c r="G73" i="1"/>
  <c r="F73" i="1"/>
  <c r="E73" i="1"/>
  <c r="D73" i="1"/>
  <c r="D66" i="1"/>
  <c r="H57" i="1"/>
  <c r="G57" i="1"/>
  <c r="F57" i="1"/>
  <c r="E57" i="1"/>
  <c r="D57" i="1"/>
  <c r="C57" i="1"/>
  <c r="D56" i="1"/>
  <c r="D40" i="1"/>
  <c r="D32" i="1"/>
  <c r="D29" i="1"/>
  <c r="D28" i="1"/>
  <c r="D27" i="1"/>
  <c r="D26" i="1"/>
  <c r="D25" i="1"/>
  <c r="D24" i="1"/>
  <c r="D23" i="1"/>
  <c r="D22" i="1"/>
  <c r="D21" i="1"/>
  <c r="D20" i="1"/>
  <c r="D19" i="1"/>
  <c r="C128" i="1"/>
  <c r="C127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2" i="1"/>
  <c r="C111" i="1"/>
  <c r="C108" i="1"/>
  <c r="C107" i="1"/>
  <c r="C106" i="1"/>
  <c r="C105" i="1"/>
  <c r="C103" i="1"/>
  <c r="C102" i="1"/>
  <c r="C101" i="1"/>
  <c r="C100" i="1"/>
  <c r="C99" i="1"/>
  <c r="C98" i="1"/>
  <c r="C96" i="1"/>
  <c r="C95" i="1"/>
  <c r="C94" i="1"/>
  <c r="C93" i="1"/>
  <c r="C92" i="1"/>
  <c r="C91" i="1"/>
  <c r="C90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3" i="1"/>
  <c r="C71" i="1"/>
  <c r="C70" i="1"/>
  <c r="C68" i="1"/>
  <c r="C67" i="1"/>
  <c r="C66" i="1"/>
  <c r="C65" i="1"/>
  <c r="C63" i="1"/>
  <c r="C61" i="1"/>
  <c r="C56" i="1"/>
  <c r="C54" i="1"/>
  <c r="C53" i="1"/>
  <c r="C52" i="1"/>
  <c r="C51" i="1"/>
  <c r="C50" i="1"/>
  <c r="C49" i="1"/>
  <c r="C48" i="1"/>
  <c r="C45" i="1"/>
  <c r="C44" i="1"/>
  <c r="C43" i="1"/>
  <c r="C42" i="1"/>
  <c r="C40" i="1"/>
  <c r="C39" i="1"/>
  <c r="C38" i="1"/>
  <c r="C37" i="1"/>
  <c r="C36" i="1"/>
  <c r="C35" i="1"/>
  <c r="C27" i="1"/>
  <c r="C26" i="1"/>
  <c r="C25" i="1"/>
  <c r="C24" i="1"/>
  <c r="C23" i="1"/>
  <c r="C22" i="1"/>
  <c r="C21" i="1"/>
  <c r="C20" i="1"/>
  <c r="C19" i="1"/>
  <c r="C9" i="1"/>
  <c r="D12" i="1" l="1"/>
  <c r="D18" i="1" l="1"/>
  <c r="C18" i="1"/>
  <c r="D17" i="1"/>
  <c r="C17" i="1"/>
  <c r="C28" i="1"/>
  <c r="C29" i="1" s="1"/>
  <c r="E25" i="1"/>
  <c r="E32" i="1"/>
  <c r="F25" i="1"/>
  <c r="F32" i="1"/>
  <c r="G25" i="1"/>
  <c r="G32" i="1"/>
  <c r="G40" i="1"/>
  <c r="H25" i="1"/>
  <c r="H32" i="1"/>
  <c r="H40" i="1"/>
  <c r="H16" i="1"/>
  <c r="G16" i="1"/>
  <c r="F16" i="1"/>
  <c r="E16" i="1"/>
  <c r="D16" i="1"/>
  <c r="C16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H8" i="1"/>
  <c r="G8" i="1"/>
  <c r="F8" i="1"/>
  <c r="C8" i="1"/>
  <c r="D8" i="1"/>
  <c r="E8" i="1"/>
  <c r="H6" i="1"/>
  <c r="G6" i="1"/>
  <c r="F6" i="1"/>
  <c r="E6" i="1"/>
  <c r="D6" i="1"/>
  <c r="C6" i="1"/>
  <c r="H65" i="1" l="1"/>
  <c r="G65" i="1"/>
  <c r="F65" i="1"/>
  <c r="E65" i="1"/>
  <c r="D65" i="1"/>
  <c r="C59" i="1"/>
  <c r="H56" i="1"/>
  <c r="G56" i="1"/>
  <c r="F56" i="1"/>
  <c r="E56" i="1"/>
  <c r="I115" i="1" l="1"/>
  <c r="H103" i="1"/>
  <c r="G103" i="1"/>
  <c r="F40" i="1"/>
  <c r="F103" i="1"/>
  <c r="E40" i="1"/>
  <c r="E103" i="1"/>
  <c r="D103" i="1"/>
  <c r="I128" i="1" l="1"/>
  <c r="I127" i="1"/>
  <c r="I117" i="1"/>
  <c r="I116" i="1"/>
  <c r="I113" i="1"/>
  <c r="I112" i="1"/>
  <c r="I111" i="1"/>
  <c r="I108" i="1"/>
  <c r="I107" i="1"/>
  <c r="I106" i="1"/>
  <c r="I105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3" i="1"/>
  <c r="I71" i="1"/>
  <c r="I69" i="1"/>
  <c r="I68" i="1"/>
  <c r="I67" i="1"/>
  <c r="I66" i="1"/>
  <c r="I61" i="1"/>
  <c r="I57" i="1"/>
  <c r="I54" i="1"/>
  <c r="I53" i="1"/>
  <c r="I52" i="1"/>
  <c r="I50" i="1"/>
  <c r="I49" i="1"/>
  <c r="I48" i="1"/>
  <c r="I45" i="1"/>
  <c r="I44" i="1"/>
  <c r="I43" i="1"/>
  <c r="I42" i="1"/>
  <c r="I40" i="1"/>
  <c r="I39" i="1"/>
  <c r="I38" i="1"/>
  <c r="I37" i="1"/>
  <c r="I36" i="1"/>
  <c r="I35" i="1"/>
  <c r="I34" i="1"/>
  <c r="I33" i="1"/>
  <c r="I28" i="1"/>
  <c r="I29" i="1" s="1"/>
  <c r="I30" i="1" s="1"/>
  <c r="I31" i="1" s="1"/>
  <c r="I32" i="1" s="1"/>
  <c r="I26" i="1"/>
  <c r="I25" i="1"/>
  <c r="I24" i="1"/>
  <c r="I23" i="1"/>
  <c r="I22" i="1"/>
  <c r="I21" i="1"/>
  <c r="I19" i="1"/>
  <c r="I18" i="1"/>
  <c r="I17" i="1"/>
  <c r="I16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6" i="1"/>
  <c r="I6" i="1"/>
</calcChain>
</file>

<file path=xl/sharedStrings.xml><?xml version="1.0" encoding="utf-8"?>
<sst xmlns="http://schemas.openxmlformats.org/spreadsheetml/2006/main" count="287" uniqueCount="214">
  <si>
    <t>№ п/п</t>
  </si>
  <si>
    <t>Виды предпринимательской деятельности</t>
  </si>
  <si>
    <t>в зависимости от численности наемных работников</t>
  </si>
  <si>
    <t>без наемных работников</t>
  </si>
  <si>
    <t xml:space="preserve">с привлечением наемных работников, в том числе членов крестьянского (фермерского) хозяйства (с учетом повышающего коэффициента 1.3) </t>
  </si>
  <si>
    <t>1 работник</t>
  </si>
  <si>
    <t>2 работника</t>
  </si>
  <si>
    <t>3 работника</t>
  </si>
  <si>
    <t>4 работника</t>
  </si>
  <si>
    <t>5 работников</t>
  </si>
  <si>
    <t xml:space="preserve">1. </t>
  </si>
  <si>
    <t>Розничная торговля продовольственными товарами</t>
  </si>
  <si>
    <t xml:space="preserve">2. </t>
  </si>
  <si>
    <t>Розничная торговля непродовольственными товарами:</t>
  </si>
  <si>
    <t xml:space="preserve">1) </t>
  </si>
  <si>
    <t>предметами одежды с применением натурального меха</t>
  </si>
  <si>
    <t xml:space="preserve">2) </t>
  </si>
  <si>
    <t>компьютерами,  ноутбуками, планшетными компьютерами, мониторами, принтерами, сканерами, проекторами, экранами для проекторов и оргтехникой, бывшими в употреблении</t>
  </si>
  <si>
    <t>3)</t>
  </si>
  <si>
    <t>строительными материалами</t>
  </si>
  <si>
    <t xml:space="preserve">4) </t>
  </si>
  <si>
    <t>парфюмерией и косметикой</t>
  </si>
  <si>
    <t xml:space="preserve">5) </t>
  </si>
  <si>
    <t>иными непродовольственными товарами</t>
  </si>
  <si>
    <t>3.</t>
  </si>
  <si>
    <t>Оказание юридической помощи (за исключением риелторских услуг)*</t>
  </si>
  <si>
    <t>4.</t>
  </si>
  <si>
    <t>Составление бухгалтерских отчетов*</t>
  </si>
  <si>
    <t>5.</t>
  </si>
  <si>
    <t>Грузовые автомобильные перевозки, кроме перевозок пожаро- и взрывоопасных, токсичных, ядовитых и радиоактивных грузов*:</t>
  </si>
  <si>
    <t>а) до 1,5 тонны</t>
  </si>
  <si>
    <t>б) от 1,5 до 3,5 тонны</t>
  </si>
  <si>
    <t>в) свыше 3,5 тонны, в том числе с прицепом</t>
  </si>
  <si>
    <t>6.</t>
  </si>
  <si>
    <t>Выпечка хлебобулочных изделий, изготовление кондитерских изделий и их реализация</t>
  </si>
  <si>
    <t>7.</t>
  </si>
  <si>
    <t>Переработка зерна, семян подсолнечника, молока, мяса, шерсти, рыбы</t>
  </si>
  <si>
    <t>8.</t>
  </si>
  <si>
    <t>Логопедические услуги*</t>
  </si>
  <si>
    <t>9.</t>
  </si>
  <si>
    <t>Ветеринарные, зоотехнические услуги*</t>
  </si>
  <si>
    <t>10.</t>
  </si>
  <si>
    <t>Услуги по написанию рефератов, курсовых и т.п., машинописные работы, в том числе с использованием компьютера, ксерокопирование и переплетные работы</t>
  </si>
  <si>
    <t>11.</t>
  </si>
  <si>
    <t>Услуги по уходу за ногтями, парикмахерские (стрижка, укладка, лечение волос, химическая завивка, окраска волос, мелирование, тонирование волос, выпрямление волос, наращивание волос) и косметические (гигиенический массаж лица и шеи; гигиеническая чистка кожи лица, не осложнённой кожными заболеваниями; окраска бровей и ресниц; приклеивание искусственных ресниц; эпиляция; депиляция; грим (макияж)), услуги по приёму воздушных ванн (солярий), татуаж и пирсинг</t>
  </si>
  <si>
    <t>12.</t>
  </si>
  <si>
    <t>Пошив, вязание, ремонт одежды, аксессуаров, головных уборов, раскройка швейных изделий, в том числе для животных</t>
  </si>
  <si>
    <t>13.</t>
  </si>
  <si>
    <t>Пошив и ремонт обуви</t>
  </si>
  <si>
    <t>14.</t>
  </si>
  <si>
    <t>Прачечные услуги и чистка перопуховых изделий</t>
  </si>
  <si>
    <t>15.</t>
  </si>
  <si>
    <t>Преподавание иностранных языков (обучение индивидуальное или групповое, группами до 12 человек)</t>
  </si>
  <si>
    <t>16.</t>
  </si>
  <si>
    <t>Преподавание и репетиторство по различным дисциплинам, кроме музыки, хореографии и изобразительного искусства (обучение индивидуальное или групповое, группами до 12 человек)</t>
  </si>
  <si>
    <t>17.</t>
  </si>
  <si>
    <t>Преподавание музыки, хореографии и изобразительного искусства (обучение индивидуальное или групповое, группами до 12 человек)</t>
  </si>
  <si>
    <t>18.</t>
  </si>
  <si>
    <t>Организация различных секций по интересам, в том числе по физической культуре, для детей в возрасте до 16 лет (группами до 14 человек)</t>
  </si>
  <si>
    <t>19.</t>
  </si>
  <si>
    <t>Организация различных секций по интересам, в том числе по физической культуре, для взрослых (группами до 14 человек)</t>
  </si>
  <si>
    <t>20.</t>
  </si>
  <si>
    <t>Почтовые экспресс-услуги по приему, перевозке и доставке корреспонденции и посылок</t>
  </si>
  <si>
    <t>21.</t>
  </si>
  <si>
    <t>Услуги по содержанию и благоустройству жилых помещений и прилегающих к ним участков</t>
  </si>
  <si>
    <t>22.</t>
  </si>
  <si>
    <t>Ремонт и техническое обслуживание автомашин, мотоциклов, мотороллеров, тракторов и с/х техники, в том числе вулканизация камер и покрышек в мастерских</t>
  </si>
  <si>
    <t>23.</t>
  </si>
  <si>
    <t>Ремонт жилых помещений</t>
  </si>
  <si>
    <t>24.</t>
  </si>
  <si>
    <t>Производство и ремонт мебели</t>
  </si>
  <si>
    <t>25.</t>
  </si>
  <si>
    <t>Ремонт и техническое обслуживание бытовой техники и теле-, аудио- и видеоаппаратуры, микроволновых печей и других бытовых электронагревательных приборов, оргтехники, вычислительной техники, фотоаппаратов, кинокамер и других оптических аппаратов или приборов, инструментов и механизмов, часов</t>
  </si>
  <si>
    <t>26.</t>
  </si>
  <si>
    <t>Ремонт и настройка музыкальных инструментов</t>
  </si>
  <si>
    <t>27.</t>
  </si>
  <si>
    <t>Фотографирование, видеосъемка, изготовление и реализация фотографий собственного изготовления, нетиражируемых плакатов, вывесок, оформление витрин, рекламное или художественное оформление</t>
  </si>
  <si>
    <t>28.</t>
  </si>
  <si>
    <t>Зрелищно-развлекательная деятельность:</t>
  </si>
  <si>
    <t>а) музыкальное обслуживание церемоний, в том числе режиссура и ведение церемоний</t>
  </si>
  <si>
    <t>б) театральные и концертные постановки, в том числе представления кукольных театров,  моноспектакли</t>
  </si>
  <si>
    <t>29.</t>
  </si>
  <si>
    <t>Пахота и другие работы по обработке земли техническими средствами, защита растений от вредителей и болезней</t>
  </si>
  <si>
    <t>30.</t>
  </si>
  <si>
    <t>Гувернерские услуги</t>
  </si>
  <si>
    <t>31.</t>
  </si>
  <si>
    <t>Передача прав пользования:</t>
  </si>
  <si>
    <t>а) квартир и индивидуальных жилых домов, а также помещений (площадей) или комнат из состава квартир или индивидуальных жилых домов:</t>
  </si>
  <si>
    <t>1) с 1 комнатой (1 комнаты)</t>
  </si>
  <si>
    <t>2) с 2 жилыми комнатами (2 комнат)</t>
  </si>
  <si>
    <t>3) с 3 жилыми комнатами (3 комнат)</t>
  </si>
  <si>
    <t>4) с 4 комнатами (4 комнат)</t>
  </si>
  <si>
    <t>5) с 5 комнатами (5 комнат)</t>
  </si>
  <si>
    <t>6) более чем с пятью комнатами (более пяти комнат)</t>
  </si>
  <si>
    <t>б) нежилых помещений</t>
  </si>
  <si>
    <t>за 1 кв. м</t>
  </si>
  <si>
    <t>в) гаражей</t>
  </si>
  <si>
    <t>г) земельных участков:</t>
  </si>
  <si>
    <t>1) сельскохозяйственного назначения</t>
  </si>
  <si>
    <t>с 1 га</t>
  </si>
  <si>
    <t>2) несельскохозяйственного назначения</t>
  </si>
  <si>
    <t>32.</t>
  </si>
  <si>
    <t>Изготовление, реализация и ремонт изделий из дерева, металла и гипса, в том числе плотницкие работы</t>
  </si>
  <si>
    <t>33.</t>
  </si>
  <si>
    <t>Изготовление и прокат реквизита для различного рода церемоний</t>
  </si>
  <si>
    <t>34.</t>
  </si>
  <si>
    <t>Дубление и обработка кожи и (или) меха, изготовление и реализация одежды меховой, предметов одежды с применением кожи и (или) меха</t>
  </si>
  <si>
    <t>35.</t>
  </si>
  <si>
    <t>Перевозка пассажиров автомобильным транспортом:</t>
  </si>
  <si>
    <t>а) с числом посадочных мест не более 5 (пяти)</t>
  </si>
  <si>
    <t>б) с числом посадочных мест более 5 (пяти), но не более 8 (восьми)</t>
  </si>
  <si>
    <t>36.</t>
  </si>
  <si>
    <t>Ведение крестьянского (фермерского) хозяйства:</t>
  </si>
  <si>
    <t>а) растениеводство (за исключением грибоводства), в том числе цветоводство, садоводство (в год)</t>
  </si>
  <si>
    <t>б) животноводство, в том числе птицеводство, пчеловодство; рыбоводство; грибоводство</t>
  </si>
  <si>
    <t>37.</t>
  </si>
  <si>
    <t>Изготовление, реализация и ремонт оправ, линз, очков</t>
  </si>
  <si>
    <t>38.</t>
  </si>
  <si>
    <t>Разведение и реализация комнатных растений, аквариумных рыб, декоративных птиц и животных</t>
  </si>
  <si>
    <t>39.</t>
  </si>
  <si>
    <t>Изготовление и установка жалюзи</t>
  </si>
  <si>
    <t>40.</t>
  </si>
  <si>
    <t>Сварочные и сантехнические работы*</t>
  </si>
  <si>
    <t>41.</t>
  </si>
  <si>
    <t>Нарезка стекла, зеркал, граверные работы по металлу, стеклу, фарфору, дереву, керамике, кроме ювелирных изделий</t>
  </si>
  <si>
    <t>42.</t>
  </si>
  <si>
    <t>Прием у населения вторичных ресурсов (кроме лома черных и цветных металлов), макулатуры, стеклопосуды, стеклобоя и их реализация юридическим лицам, использующим их в технологических и (или) производственных целях</t>
  </si>
  <si>
    <t>43.</t>
  </si>
  <si>
    <t>Услуги по уборке урожая с привлечением сельскохозяйственной техники индивидуальных владельцев, а также переработка и обработка фруктов, овощей, ягод и реализация результатов переработки</t>
  </si>
  <si>
    <t>44.</t>
  </si>
  <si>
    <t>Услуги переводчика</t>
  </si>
  <si>
    <t>45.</t>
  </si>
  <si>
    <t>Оказание услуг по погрузке и разгрузке грузов</t>
  </si>
  <si>
    <t>46.</t>
  </si>
  <si>
    <t>Ремонт абонентских устройств (телефонных аппаратов, факсов, модемов, автоответчиков и других технических средств формирования сигналов электросвязи)</t>
  </si>
  <si>
    <t>47.</t>
  </si>
  <si>
    <t>Услуги по изготовлению и реализации памятников и других похоронных реквизитов,  траурных венков, искусственных цветов, гирлянд, букетов, а также предоставление услуг по содержанию мест захоронения и уходу за ними</t>
  </si>
  <si>
    <t>48.</t>
  </si>
  <si>
    <t>Осуществление деятельности в качестве арбитражного управляющего</t>
  </si>
  <si>
    <t>49.</t>
  </si>
  <si>
    <t>Изготовление готовых к употреблению блюд, горячих и прохладных безалкогольных напитков и их реализация:</t>
  </si>
  <si>
    <t>а) с рук, лотка, корзин, ручных тележек**</t>
  </si>
  <si>
    <t>б) в сооружениях, без организации мест потребления, общей площадью не более         6 кв. м **</t>
  </si>
  <si>
    <t>в) в сооружениях, без мест организации приготовления блюд, общей площадью не более 35 кв. м**</t>
  </si>
  <si>
    <t>50.</t>
  </si>
  <si>
    <t>Услуги по оказанию психологической помощи*</t>
  </si>
  <si>
    <t>51.</t>
  </si>
  <si>
    <t>Медицинские услуги, перечень которых устанавливается Правительством Приднестровской Молдавской Республики, включая медицинский массаж*********, услуги по уходу за больными*</t>
  </si>
  <si>
    <t>52.</t>
  </si>
  <si>
    <t>Услуги по установке и сопровождению программного обеспечения, созданию и сопровождению информационных ресурсов сети Интернет</t>
  </si>
  <si>
    <t>53.</t>
  </si>
  <si>
    <t>Организация туризма и экскурсий внутри страны</t>
  </si>
  <si>
    <t>54.</t>
  </si>
  <si>
    <t xml:space="preserve">Сдача в аренду: </t>
  </si>
  <si>
    <t>а) грузовых автомобилей, самоходных машин и механизмов на пневмоходу (трактора, экскаваторы, комбайны, кары и др.)****</t>
  </si>
  <si>
    <t>б) легковых автомобилей ***</t>
  </si>
  <si>
    <t>55.</t>
  </si>
  <si>
    <t>Организация и содержание зоопарков (при наличии согласования, полученного у уполномоченного Правительством Приднестровской Молдавской Республики исполнительного органа государственной власти)</t>
  </si>
  <si>
    <t>56.</t>
  </si>
  <si>
    <t>Услуги тира с использованием пневматического оружия (калибром не более 4,5 мм, скорость полета 150 м/с), а также с использованием оружия, которое относится к разряду игрушек, при обязательном согласовании с органами внутренних дел ПМР</t>
  </si>
  <si>
    <t>57.</t>
  </si>
  <si>
    <t>Предоставление услуг платных туалетов</t>
  </si>
  <si>
    <t>58.</t>
  </si>
  <si>
    <t>Услуги бани, сауны с совокупной площадью помещений не более 90 кв. м (раздевалка, душевая, санузел, комната отдыха, парная, бассейн); душевых ****</t>
  </si>
  <si>
    <t>59.</t>
  </si>
  <si>
    <t>Услуги аркадных мини-аттракционов:</t>
  </si>
  <si>
    <t>а) с количеством аттракционов не более 1 единицы</t>
  </si>
  <si>
    <t>б) с количеством аттракционов более 1 единицы, но не более 5 единиц</t>
  </si>
  <si>
    <t>60.</t>
  </si>
  <si>
    <t>Предоставление услуг по занятию спортом в тренажерных залах*****</t>
  </si>
  <si>
    <t>61.</t>
  </si>
  <si>
    <t>Услуги автомоек самообслуживания ******</t>
  </si>
  <si>
    <t>за один автомоечный пост</t>
  </si>
  <si>
    <t>62.</t>
  </si>
  <si>
    <t>Услуги по прокату веломобилей, электромобилей, велосипедов:</t>
  </si>
  <si>
    <t>а) с количеством  веломобилей, электромобилей, велосипедов  не более 5 единиц</t>
  </si>
  <si>
    <t>б) с количеством  веломобилей, электромобилей,  велосипедов  более 5 единиц</t>
  </si>
  <si>
    <t>63.</t>
  </si>
  <si>
    <t>Услуги батутов:</t>
  </si>
  <si>
    <t>а) с количеством  батутов не более 1 единицы</t>
  </si>
  <si>
    <t>б) с количеством  батутов более 1 единицы, но не более 5 единиц</t>
  </si>
  <si>
    <t>64.</t>
  </si>
  <si>
    <t>Услуги по сбору и транспортированию твердых бытовых отходов III и IV классов опасности*******)</t>
  </si>
  <si>
    <t>65.</t>
  </si>
  <si>
    <t>Предоставление прочих услуг, а именно********):</t>
  </si>
  <si>
    <t>а) услуги по уходу за домашними животными, такие как содержание и дрессировка;</t>
  </si>
  <si>
    <t xml:space="preserve">б) услуги по фасовке твердых, жидких, сыпучих и штучных товаров на собственном специализированном оборудовании; </t>
  </si>
  <si>
    <t xml:space="preserve">в) услуги курьера; </t>
  </si>
  <si>
    <t>г) предоставление в пользование оргтехники в пунктах коллективного доступа (компьютерные клубы) с количеством компьютеров не более 20;</t>
  </si>
  <si>
    <t>д) услуги свахи по поиску партнера с целью создания семьи;</t>
  </si>
  <si>
    <t>е) деятельность, связанная с эксплуатацией автоматов личного обслуживания, с количеством автоматов не более 1 единицы (фотокабинок, аппаратов для взвешивания, измерения кровяного давления);</t>
  </si>
  <si>
    <t>ж) услуги по расклейке объявлений;</t>
  </si>
  <si>
    <t>з) услуги по оборудованию квартир (навеска карнизов, картин, вешалок, зеркал и др. предметов)</t>
  </si>
  <si>
    <t>66.</t>
  </si>
  <si>
    <t>Дизайнерские услуги**********</t>
  </si>
  <si>
    <t>67.</t>
  </si>
  <si>
    <t>Общественное питание*</t>
  </si>
  <si>
    <t>*) при наличии специальной подготовки</t>
  </si>
  <si>
    <t xml:space="preserve">**) при наличии заключения государственной санитарно-эпидемиологической службы о соответствии условий приготовления блюд санитарным нормам; при наличии справки бюро технической инвентаризации на стационарный объект с указанием его площади (для подпунктов б) и в) п. 49) </t>
  </si>
  <si>
    <t>***) плата за патент вносится за каждое транспортное средство</t>
  </si>
  <si>
    <t>****) при наличии справки бюро технической инвентаризации с указанием площади соответствующих помещений, при наличии заключения о соответствии санитарно-эпидемиологическим нормам и нормам пожарной безопасности</t>
  </si>
  <si>
    <t>*****) под тренажерным залом понимается не включенное в состав оздоровительных, спортивных, спортивно-оздоровительных, гостиничных и иных комплексов помещение, состоящее из зала площадью до 500 кв. м, в котором непосредственно размещены приспособления для занятия спортом – спортивный инвентарь и тренажеры, а также помещения для переодевания, санузлов и душевых</t>
  </si>
  <si>
    <t>******) под автомоечным постом понимается отдельное место автомойки, оснащенное необходимым оборудованием, которое используется для обслуживания одного автомобиля</t>
  </si>
  <si>
    <t xml:space="preserve">*******) при наличии заключенного договора со специализированными организациями, осуществляющими размещение (захоронение и складирование) и (или) переработку твердых бытовых отходов в порядке, предусмотренном действующим законодательством Приднестровской Молдавской Республики </t>
  </si>
  <si>
    <t>********) запрещается осуществление деятельности на основании хозяйственного патента, а также на основании договора о совместной деятельности (договора простого товарищества)</t>
  </si>
  <si>
    <t>*********) под медицинским массажем следует понимать те виды массажа, которые направлены на лечение, медицинскую реабилитацию и/или профилактику при различных заболеваниях</t>
  </si>
  <si>
    <t>**********) под дизайнерскими услугами понимаются услуги по проектированию художественных форм, внешнего вида изделий, фасадов зданий, интерьеров помещений; художественное конструирование</t>
  </si>
  <si>
    <t>Плата за патент (удостоверение) в 2019 году в рублях ПМР</t>
  </si>
  <si>
    <t>Стоимость патента включает ежемесячные обязательные платежи из расчёта 5% с 1 МРОТ за каждого работника в виде подоходного налога, ЕСН  (14%) и ПФ (3%) от 1 МРОТ за каждого работника, а также 3% от размера вменённого годового дохода в зависимости от кол-ва работников</t>
  </si>
  <si>
    <t>подпункт в) рассчитал без учёта ЕСН, ПФ и подоходного, необходимо прибавить к итоговому платежу сумму в данной графе</t>
  </si>
  <si>
    <t>подпункт 1) и 2) рассчитан без учёта ЕСН, ПФ и подоходного, необходимо прибавить к итоговому платежу сумму в данной графе</t>
  </si>
  <si>
    <t>подпункт б) рассчитан без учёта ЕСН, ПФ и подоходного, необходимо прибавить к итоговому платежу сумму в данной графе</t>
  </si>
  <si>
    <t>без учёта ПФ, ЕСН, и подоходного</t>
  </si>
  <si>
    <t>Социальные платежи в размере 24 РУ МЗП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</si>
</sst>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center" vertical="justify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justify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justify"/>
    </xf>
    <xf numFmtId="0" fontId="4" fillId="0" borderId="7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zoomScale="85" zoomScaleNormal="85" workbookViewId="0">
      <pane xSplit="7" ySplit="4" topLeftCell="H128" activePane="bottomRight" state="frozen"/>
      <selection pane="topRight" activeCell="H1" sqref="H1"/>
      <selection pane="bottomLeft" activeCell="A5" sqref="A5"/>
      <selection pane="bottomRight" activeCell="D132" sqref="D132"/>
    </sheetView>
  </sheetViews>
  <sheetFormatPr defaultColWidth="18.3984375" defaultRowHeight="36.85" customHeight="1" x14ac:dyDescent="0.45"/>
  <cols>
    <col min="1" max="1" width="5.86328125" style="3" customWidth="1"/>
    <col min="2" max="2" width="45.46484375" style="4" customWidth="1"/>
    <col min="3" max="16384" width="18.3984375" style="3"/>
  </cols>
  <sheetData>
    <row r="1" spans="1:14" ht="36.85" customHeight="1" thickBot="1" x14ac:dyDescent="0.5">
      <c r="A1" s="10" t="s">
        <v>0</v>
      </c>
      <c r="B1" s="10" t="s">
        <v>1</v>
      </c>
      <c r="C1" s="27" t="s">
        <v>207</v>
      </c>
      <c r="D1" s="27"/>
      <c r="E1" s="27"/>
      <c r="F1" s="27"/>
      <c r="G1" s="27"/>
      <c r="H1" s="28"/>
      <c r="I1" s="11"/>
      <c r="J1" s="11"/>
      <c r="K1" s="11"/>
      <c r="L1" s="11"/>
      <c r="M1" s="11"/>
      <c r="N1" s="11"/>
    </row>
    <row r="2" spans="1:14" ht="34.15" customHeight="1" thickBot="1" x14ac:dyDescent="0.5">
      <c r="A2" s="10"/>
      <c r="B2" s="32" t="s">
        <v>208</v>
      </c>
      <c r="C2" s="27" t="s">
        <v>2</v>
      </c>
      <c r="D2" s="27"/>
      <c r="E2" s="27"/>
      <c r="F2" s="27"/>
      <c r="G2" s="27"/>
      <c r="H2" s="28"/>
      <c r="I2" s="11"/>
      <c r="J2" s="11"/>
      <c r="K2" s="11"/>
      <c r="L2" s="11"/>
      <c r="M2" s="11"/>
      <c r="N2" s="11"/>
    </row>
    <row r="3" spans="1:14" ht="73.5" customHeight="1" thickBot="1" x14ac:dyDescent="0.5">
      <c r="A3" s="10"/>
      <c r="B3" s="33"/>
      <c r="C3" s="12" t="s">
        <v>3</v>
      </c>
      <c r="D3" s="28" t="s">
        <v>4</v>
      </c>
      <c r="E3" s="29"/>
      <c r="F3" s="29"/>
      <c r="G3" s="29"/>
      <c r="H3" s="29"/>
      <c r="I3" s="11"/>
      <c r="J3" s="11"/>
      <c r="K3" s="11"/>
      <c r="L3" s="11"/>
      <c r="M3" s="11"/>
      <c r="N3" s="11"/>
    </row>
    <row r="4" spans="1:14" ht="36.85" customHeight="1" thickBot="1" x14ac:dyDescent="0.5">
      <c r="A4" s="10"/>
      <c r="B4" s="33"/>
      <c r="C4" s="12"/>
      <c r="D4" s="12" t="s">
        <v>5</v>
      </c>
      <c r="E4" s="12" t="s">
        <v>6</v>
      </c>
      <c r="F4" s="12" t="s">
        <v>7</v>
      </c>
      <c r="G4" s="12" t="s">
        <v>8</v>
      </c>
      <c r="H4" s="13" t="s">
        <v>9</v>
      </c>
      <c r="I4" s="11"/>
      <c r="J4" s="11"/>
      <c r="K4" s="11"/>
      <c r="L4" s="11"/>
      <c r="M4" s="11"/>
      <c r="N4" s="11"/>
    </row>
    <row r="5" spans="1:14" ht="36.75" customHeight="1" thickBot="1" x14ac:dyDescent="0.5">
      <c r="A5" s="14"/>
      <c r="B5" s="34"/>
      <c r="C5" s="15"/>
      <c r="D5" s="15"/>
      <c r="E5" s="15"/>
      <c r="F5" s="15"/>
      <c r="G5" s="15"/>
      <c r="H5" s="16"/>
      <c r="I5" s="17"/>
      <c r="J5" s="17"/>
      <c r="K5" s="17"/>
      <c r="L5" s="17"/>
      <c r="M5" s="17"/>
      <c r="N5" s="17"/>
    </row>
    <row r="6" spans="1:14" ht="36.75" customHeight="1" thickBot="1" x14ac:dyDescent="0.5">
      <c r="A6" s="14" t="s">
        <v>10</v>
      </c>
      <c r="B6" s="14" t="s">
        <v>11</v>
      </c>
      <c r="C6" s="15">
        <f>17000*6/12*0.03*0.7+(1600*0.03)+(1600*0.14)</f>
        <v>450.5</v>
      </c>
      <c r="D6" s="15">
        <f>22100*6/12*0.03*0.7+(1600*0.03*2)+(1600*0.14*2)+(1600*0.05)</f>
        <v>856.05</v>
      </c>
      <c r="E6" s="15">
        <f>27200*6/12*0.03*0.7+(1600*0.03*3)+(1600*0.14*3)+(1600*0.05*2)</f>
        <v>1261.6000000000001</v>
      </c>
      <c r="F6" s="15">
        <f>L6*6/12*0.03*0.7+(1600*0.03*4)+(1600*0.14*4)+(1600*0.05*3)</f>
        <v>1667.15</v>
      </c>
      <c r="G6" s="15">
        <f>M6*6/12*0.03*0.7+(1600*0.03*5)+(1600*0.14*5)+(1600*0.05*4)</f>
        <v>2072.7000000000003</v>
      </c>
      <c r="H6" s="16">
        <f>N6*6/12*0.03+(1600*0.03*6)+(1600*0.14*6)+(1600*0.05*5)</f>
        <v>2669.5</v>
      </c>
      <c r="I6" s="17">
        <f>17000*6/12*0.03+(1600*0.03)+(1600*0.14)</f>
        <v>527</v>
      </c>
      <c r="J6" s="17">
        <f>21000*6/12*0.03+(1600*0.03*2)+(1600*0.14*2)</f>
        <v>859</v>
      </c>
      <c r="K6" s="17">
        <v>27200</v>
      </c>
      <c r="L6" s="17">
        <v>32300</v>
      </c>
      <c r="M6" s="17">
        <v>37400</v>
      </c>
      <c r="N6" s="17">
        <v>42500</v>
      </c>
    </row>
    <row r="7" spans="1:14" ht="42" customHeight="1" thickBot="1" x14ac:dyDescent="0.5">
      <c r="A7" s="14" t="s">
        <v>12</v>
      </c>
      <c r="B7" s="14" t="s">
        <v>13</v>
      </c>
      <c r="C7" s="18"/>
      <c r="D7" s="15"/>
      <c r="E7" s="15"/>
      <c r="F7" s="15"/>
      <c r="G7" s="15"/>
      <c r="H7" s="16"/>
      <c r="I7" s="19"/>
      <c r="J7" s="19"/>
      <c r="K7" s="19"/>
      <c r="L7" s="19"/>
      <c r="M7" s="19"/>
      <c r="N7" s="19"/>
    </row>
    <row r="8" spans="1:14" ht="47.25" customHeight="1" thickBot="1" x14ac:dyDescent="0.5">
      <c r="A8" s="14" t="s">
        <v>14</v>
      </c>
      <c r="B8" s="14" t="s">
        <v>15</v>
      </c>
      <c r="C8" s="15">
        <f>38000*6/12*0.03*0.7+(1600*0.03)+(1600*0.14)</f>
        <v>671</v>
      </c>
      <c r="D8" s="15">
        <f>49400*6/12*0.03*0.7+(1600*0.03*2)+(1600*0.14*2)+(1600*0.05)</f>
        <v>1142.7</v>
      </c>
      <c r="E8" s="15">
        <f>60800*6/12*0.03*0.7+(1600*0.03*3)+(1600*0.14*3)+(1600*0.05*2)</f>
        <v>1614.4</v>
      </c>
      <c r="F8" s="15">
        <f>L8*6/12*0.03*0.7+(1600*0.03*4)+(1600*0.14*4)+(1600*0.05*3)</f>
        <v>2086.1</v>
      </c>
      <c r="G8" s="15">
        <f>M8*6/12*0.03*0.7+(1600*0.03*5)+(1600*0.14*5)+(1600*0.05*4)</f>
        <v>2557.8000000000002</v>
      </c>
      <c r="H8" s="16">
        <f>N8*6/12*0.03*0.7+(1600*0.03*6)+(1600*0.14*6)+(1600*0.05*5)</f>
        <v>3029.5</v>
      </c>
      <c r="I8" s="17">
        <f>38000*6/12*0.03+(1600*0.03)+(1600*0.14)</f>
        <v>842</v>
      </c>
      <c r="J8" s="17">
        <f>49400*6/12*0.03+(1600*0.03*2)+(1600*0.14*2)</f>
        <v>1285</v>
      </c>
      <c r="K8" s="17">
        <v>60800</v>
      </c>
      <c r="L8" s="17">
        <v>72200</v>
      </c>
      <c r="M8" s="17">
        <v>83600</v>
      </c>
      <c r="N8" s="17">
        <v>95000</v>
      </c>
    </row>
    <row r="9" spans="1:14" ht="103.9" customHeight="1" thickBot="1" x14ac:dyDescent="0.5">
      <c r="A9" s="14" t="s">
        <v>16</v>
      </c>
      <c r="B9" s="14" t="s">
        <v>17</v>
      </c>
      <c r="C9" s="15">
        <f>68000*6/12*0.03*0.7+(1600*0.03)+(1600*0.14)</f>
        <v>986</v>
      </c>
      <c r="D9" s="15">
        <f>88400*6/12*0.03*0.7+(1600*0.03*2)+(1600*0.14*2)+(1600*0.05)</f>
        <v>1552.1999999999998</v>
      </c>
      <c r="E9" s="15">
        <f>108800*6/12*0.03*0.7+(1600*0.03*3)+(1600*0.14*3)+(1600*0.05*2)</f>
        <v>2118.4</v>
      </c>
      <c r="F9" s="15">
        <f>L9*6/12*0.03*0.7+(1600*0.03*4)+(1600*0.14*4)+(1600*0.05*3)</f>
        <v>2684.6</v>
      </c>
      <c r="G9" s="15">
        <f>M9*6/12*0.03*0.7+(1600*0.03*5)+(1600*0.14*5)+(1600*0.05*4)</f>
        <v>3250.8</v>
      </c>
      <c r="H9" s="16">
        <f>N9*6/12*0.03*0.7+(1600*0.03*6)+(1600*0.14*6)+(1600*0.05*5)</f>
        <v>3817</v>
      </c>
      <c r="I9" s="17">
        <f>68000*6/12*0.03+(1600*0.03)+(1600*0.14)</f>
        <v>1292</v>
      </c>
      <c r="J9" s="17">
        <f>88400*6/12*0.03+(1600*0.03*2)+(1600*0.14*2)</f>
        <v>1870</v>
      </c>
      <c r="K9" s="17">
        <v>108800</v>
      </c>
      <c r="L9" s="17">
        <v>129200</v>
      </c>
      <c r="M9" s="17">
        <v>149600</v>
      </c>
      <c r="N9" s="17">
        <v>170000</v>
      </c>
    </row>
    <row r="10" spans="1:14" ht="36.85" customHeight="1" thickBot="1" x14ac:dyDescent="0.5">
      <c r="A10" s="14" t="s">
        <v>18</v>
      </c>
      <c r="B10" s="14" t="s">
        <v>19</v>
      </c>
      <c r="C10" s="15">
        <f>26000*6/12*0.03*0.7+(1600*0.03)+(1600*0.14)</f>
        <v>545</v>
      </c>
      <c r="D10" s="15">
        <f>33800*6/12*0.03*0.7+(1600*0.03*2)+(1600*0.14*2)+(1600*0.05)</f>
        <v>978.90000000000009</v>
      </c>
      <c r="E10" s="15">
        <f>41600*6/12*0.03*0.7+(1600*0.03*3)+(1600*0.14*3)+(1600*0.05*2)</f>
        <v>1412.8000000000002</v>
      </c>
      <c r="F10" s="15">
        <f>L10*6/12*0.03*0.7+(1600*0.03*4)+(1600*0.14*4)+(1600*0.05*3)</f>
        <v>1846.7</v>
      </c>
      <c r="G10" s="15">
        <f>M10*6/12*0.03*0.7+(1600*0.03*5)+(1600*0.14*5)+(1600*0.05*4)</f>
        <v>2280.6000000000004</v>
      </c>
      <c r="H10" s="16">
        <f>N10*6/12*0.03*0.7+(1600*0.03*6)+(1600*0.14*6)+(1600*0.05*5)</f>
        <v>2714.5</v>
      </c>
      <c r="I10" s="17">
        <f>26000*6/12*0.03+(1600*0.03)+(1600*0.14)</f>
        <v>662</v>
      </c>
      <c r="J10" s="17">
        <f>33800*6/12*0.03+(1600*0.03*2)+(1600*0.14*2)</f>
        <v>1051</v>
      </c>
      <c r="K10" s="17">
        <v>41600</v>
      </c>
      <c r="L10" s="17">
        <v>49400</v>
      </c>
      <c r="M10" s="17">
        <v>57200</v>
      </c>
      <c r="N10" s="17">
        <v>65000</v>
      </c>
    </row>
    <row r="11" spans="1:14" ht="36.85" customHeight="1" thickBot="1" x14ac:dyDescent="0.5">
      <c r="A11" s="14" t="s">
        <v>20</v>
      </c>
      <c r="B11" s="14" t="s">
        <v>21</v>
      </c>
      <c r="C11" s="15">
        <f>26000*6/12*0.03*0.7+(1600*0.03)+(1600*0.14)</f>
        <v>545</v>
      </c>
      <c r="D11" s="15">
        <f>33800*6/12*0.03*0.7+(1600*0.03*2)+(1600*0.14*2)+(1600*0.05)</f>
        <v>978.90000000000009</v>
      </c>
      <c r="E11" s="15">
        <f>41600*6/12*0.03*0.7+(1600*0.03*3)+(1600*0.14*3)+(1600*0.05*2)</f>
        <v>1412.8000000000002</v>
      </c>
      <c r="F11" s="15">
        <f>L11*6/12*0.03*0.7+(1600*0.03*4)+(1600*0.14*4)+(1600*0.05*3)</f>
        <v>1846.7</v>
      </c>
      <c r="G11" s="15">
        <f>M11*6/12*0.03*0.7+(1600*0.03*5)+(1600*0.14*5)+(1600*0.05*4)</f>
        <v>2280.6000000000004</v>
      </c>
      <c r="H11" s="16">
        <f>N11*6/12*0.03*0.7+(1600*0.03*6)+(1600*0.14*6)+(1600*0.05*5)</f>
        <v>2714.5</v>
      </c>
      <c r="I11" s="17">
        <f>26000*6/12*0.03+(1600*0.03)+(1600*0.14)</f>
        <v>662</v>
      </c>
      <c r="J11" s="17">
        <f>33800*6/12*0.03+(1600*0.03*2)+(1600*0.14*2)</f>
        <v>1051</v>
      </c>
      <c r="K11" s="17">
        <v>41600</v>
      </c>
      <c r="L11" s="17">
        <v>49400</v>
      </c>
      <c r="M11" s="17">
        <v>57200</v>
      </c>
      <c r="N11" s="17">
        <v>65000</v>
      </c>
    </row>
    <row r="12" spans="1:14" ht="36.85" customHeight="1" thickBot="1" x14ac:dyDescent="0.5">
      <c r="A12" s="14" t="s">
        <v>22</v>
      </c>
      <c r="B12" s="14" t="s">
        <v>23</v>
      </c>
      <c r="C12" s="15">
        <f>18000*6/12*0.03*0.7+(1600*0.03)+(1600*0.14)</f>
        <v>461</v>
      </c>
      <c r="D12" s="15">
        <f>(23400*6/12*0.03*0.7)*2+(1600*0.03*2)+(1600*0.14*2)+(1600*0.05)</f>
        <v>1115.4000000000001</v>
      </c>
      <c r="E12" s="15">
        <f>28800*6/12*0.03*0.7+(1600*0.03*3)+(1600*0.14*3)+(1600*0.05*2)</f>
        <v>1278.4000000000001</v>
      </c>
      <c r="F12" s="15">
        <f>L12*6/12*0.03*0.7+(1600*0.03*4)+(1600*0.14*4)+(1600*0.05*3)</f>
        <v>1687.1</v>
      </c>
      <c r="G12" s="15">
        <f>M12*6/12*0.03*0.7+(1600*0.03*5)+(1600*0.14*5)+(1600*0.05*4)</f>
        <v>2095.8000000000002</v>
      </c>
      <c r="H12" s="16">
        <f>N12*6/12*0.03*0.7+(1600*0.03*6)+(1600*0.14*6)+(1600*0.05*5)</f>
        <v>2504.5</v>
      </c>
      <c r="I12" s="17">
        <f>18000*6/12*0.03+(1600*0.03)+(1600*0.14)</f>
        <v>542</v>
      </c>
      <c r="J12" s="17">
        <f>23400*6/12*0.03+(1600*0.03*2)+(1600*0.14*2)</f>
        <v>895</v>
      </c>
      <c r="K12" s="17">
        <v>28800</v>
      </c>
      <c r="L12" s="17">
        <v>34200</v>
      </c>
      <c r="M12" s="17">
        <v>39600</v>
      </c>
      <c r="N12" s="17">
        <v>45000</v>
      </c>
    </row>
    <row r="13" spans="1:14" ht="36.85" customHeight="1" thickBot="1" x14ac:dyDescent="0.5">
      <c r="A13" s="14" t="s">
        <v>24</v>
      </c>
      <c r="B13" s="14" t="s">
        <v>25</v>
      </c>
      <c r="C13" s="15">
        <f>12800*4/12*0.03*0.7+(1600*0.03)+(1600*0.14)</f>
        <v>361.6</v>
      </c>
      <c r="D13" s="15">
        <f>16640*4/12*0.03*0.7+(1600*0.03*2)+(1600*0.14*2)+(1600*0.05)</f>
        <v>740.48</v>
      </c>
      <c r="E13" s="15">
        <f>K13*4/12*0.03*0.7+(1600*0.03*3)+(1600*0.14*3)+(1600*0.05*2)</f>
        <v>1119.3600000000001</v>
      </c>
      <c r="F13" s="15">
        <f>L13*4/12*0.03*0.7+(1600*0.03*4)+(1600*0.14*4)+(1600*0.05*3)</f>
        <v>1498.2400000000002</v>
      </c>
      <c r="G13" s="15">
        <f>M13*4/12*0.03*0.7+(1600*0.03*5)+(1600*0.14*5)+(1600*0.05*4)</f>
        <v>1877.1200000000003</v>
      </c>
      <c r="H13" s="16">
        <f>N13*4/12*0.03*0.7+(1600*0.03*6)+(1600*0.14*6)+(1600*0.05*5)</f>
        <v>2256</v>
      </c>
      <c r="I13" s="17">
        <f>12800*4/12*0.03+(1600*0.03)+(1600*0.14)</f>
        <v>400</v>
      </c>
      <c r="J13" s="17">
        <f>16640*4/12*0.03+(1600*0.03*2)+(1600*0.14*2)</f>
        <v>710.40000000000009</v>
      </c>
      <c r="K13" s="17">
        <v>20480</v>
      </c>
      <c r="L13" s="17">
        <v>24320</v>
      </c>
      <c r="M13" s="17">
        <v>28160</v>
      </c>
      <c r="N13" s="17">
        <v>32000</v>
      </c>
    </row>
    <row r="14" spans="1:14" ht="36.85" customHeight="1" thickBot="1" x14ac:dyDescent="0.5">
      <c r="A14" s="14" t="s">
        <v>26</v>
      </c>
      <c r="B14" s="14" t="s">
        <v>27</v>
      </c>
      <c r="C14" s="15">
        <f>12800*4/12*0.03*0.7+(1600*0.03)+(1600*0.14)</f>
        <v>361.6</v>
      </c>
      <c r="D14" s="15">
        <f>16640*4/12*0.03*0.7+(1600*0.03*2)+(1600*0.14*2)+(1600*0.05)</f>
        <v>740.48</v>
      </c>
      <c r="E14" s="15">
        <f>K14*4/12*0.03*0.7+(1600*0.03*3)+(1600*0.14*3)+(1600*0.05*2)</f>
        <v>1119.3600000000001</v>
      </c>
      <c r="F14" s="15">
        <f>L14*4/12*0.03*0.7+(1600*0.03*4)+(1600*0.14*4)+(1600*0.05*3)</f>
        <v>1498.2400000000002</v>
      </c>
      <c r="G14" s="15">
        <f>M14*4/12*0.03*0.7+(1600*0.03*5)+(1600*0.14*5)+(1600*0.05*4)</f>
        <v>1877.1200000000003</v>
      </c>
      <c r="H14" s="16">
        <f>N14*4/12*0.03*0.7+(1600*0.03*6)+(1600*0.14*6)+(1600*0.05*5)</f>
        <v>2256</v>
      </c>
      <c r="I14" s="17">
        <f>12800*4/12*0.03+(1600*0.03)+(1600*0.14)</f>
        <v>400</v>
      </c>
      <c r="J14" s="17">
        <f>16640*4/12*0.03+(1600*0.03*2)+(1600*0.14*2)</f>
        <v>710.40000000000009</v>
      </c>
      <c r="K14" s="17">
        <v>20480</v>
      </c>
      <c r="L14" s="17">
        <v>24320</v>
      </c>
      <c r="M14" s="17">
        <v>28160</v>
      </c>
      <c r="N14" s="17">
        <v>32000</v>
      </c>
    </row>
    <row r="15" spans="1:14" ht="97.5" customHeight="1" thickBot="1" x14ac:dyDescent="0.5">
      <c r="A15" s="14" t="s">
        <v>28</v>
      </c>
      <c r="B15" s="14" t="s">
        <v>29</v>
      </c>
      <c r="C15" s="30"/>
      <c r="D15" s="30"/>
      <c r="E15" s="30"/>
      <c r="F15" s="30"/>
      <c r="G15" s="30"/>
      <c r="H15" s="31"/>
      <c r="I15" s="35"/>
      <c r="J15" s="35"/>
      <c r="K15" s="35"/>
      <c r="L15" s="35"/>
      <c r="M15" s="35"/>
      <c r="N15" s="35"/>
    </row>
    <row r="16" spans="1:14" ht="36.85" customHeight="1" thickBot="1" x14ac:dyDescent="0.5">
      <c r="A16" s="14"/>
      <c r="B16" s="14" t="s">
        <v>30</v>
      </c>
      <c r="C16" s="15">
        <f>8800*4/12*0.03*0.7+(1600*0.03)+(1600*0.14)</f>
        <v>333.6</v>
      </c>
      <c r="D16" s="15">
        <f>J16*4/12*0.03*0.7+(1600*0.03*2)+(1600*0.14*2)+(1600*0.05)</f>
        <v>704.08</v>
      </c>
      <c r="E16" s="15">
        <f>K16*4/12*0.03*0.7+(1600*0.03*3)+(1600*0.14*3)+(1600*0.05*2)</f>
        <v>1074.5600000000002</v>
      </c>
      <c r="F16" s="15">
        <f>L16*4/12*0.03*0.7+(1600*0.03*4)+(1600*0.14*4)+(1600*0.05*3)</f>
        <v>1445.04</v>
      </c>
      <c r="G16" s="15">
        <f>M16*4/12*0.03*0.7+(1600*0.03*5)+(1600*0.14*5)+(1600*0.05*4)</f>
        <v>1815.5200000000002</v>
      </c>
      <c r="H16" s="16">
        <f>N16*4/12*0*3*0.7+(1600*0.03*6)+(1600*0.14*6)+(1600*0.05*5)</f>
        <v>2032.0000000000002</v>
      </c>
      <c r="I16" s="17">
        <f>8800*4/12*0.03+(1600*0.03)+(1600*0.14)</f>
        <v>360</v>
      </c>
      <c r="J16" s="17">
        <v>11440</v>
      </c>
      <c r="K16" s="17">
        <v>14080</v>
      </c>
      <c r="L16" s="17">
        <v>16720</v>
      </c>
      <c r="M16" s="17">
        <v>19360</v>
      </c>
      <c r="N16" s="17">
        <v>22000</v>
      </c>
    </row>
    <row r="17" spans="1:14" ht="36.85" customHeight="1" thickBot="1" x14ac:dyDescent="0.5">
      <c r="A17" s="14"/>
      <c r="B17" s="14" t="s">
        <v>31</v>
      </c>
      <c r="C17" s="15">
        <f>12800*4/12*0.03*0.7+(1600*0.03)+(1600*0.14)</f>
        <v>361.6</v>
      </c>
      <c r="D17" s="15">
        <f>J17*4/12*0.03*0.7+(1600*0.03*2)+(1600*0.14*2)+(1600*0.05)</f>
        <v>740.48</v>
      </c>
      <c r="E17" s="15">
        <f>K17*4/12*0.03*0.7+(1600*0.03*3)+(1600*0.14*3)+(1600*0.05*2)</f>
        <v>1119.3600000000001</v>
      </c>
      <c r="F17" s="15">
        <f>L17*4/12*0.03*0.7+(1600*0.03*4)+(1600*0.14*4)+(1600*0.05*3)</f>
        <v>1498.2400000000002</v>
      </c>
      <c r="G17" s="15">
        <f>M17*4/12*0.03*0.7+(1600*0.03*5)+(1600*0.14*5)+(1600*0.05*4)</f>
        <v>1877.1200000000003</v>
      </c>
      <c r="H17" s="16">
        <f>N17*4/12*0.03*0.7+(1600*0.03*6)+(1600*0.14*6)+(1600*0.05*5)</f>
        <v>2256</v>
      </c>
      <c r="I17" s="17">
        <f>12800*4/12*0.03+(1600*0.03)+(1600*0.14)</f>
        <v>400</v>
      </c>
      <c r="J17" s="17">
        <v>16640</v>
      </c>
      <c r="K17" s="17">
        <v>20480</v>
      </c>
      <c r="L17" s="17">
        <v>24320</v>
      </c>
      <c r="M17" s="17">
        <v>28160</v>
      </c>
      <c r="N17" s="17">
        <v>32000</v>
      </c>
    </row>
    <row r="18" spans="1:14" ht="36.85" customHeight="1" thickBot="1" x14ac:dyDescent="0.5">
      <c r="A18" s="14"/>
      <c r="B18" s="14" t="s">
        <v>32</v>
      </c>
      <c r="C18" s="15">
        <f>14800*4/12*0.03*0.7+(1600*0.03)+(1600*0.14)</f>
        <v>375.6</v>
      </c>
      <c r="D18" s="15">
        <f>J18*4/12*0.03*0.7+(1600*0.03*2)+(1600*0.14*2)+(1600*0.05)</f>
        <v>758.68000000000006</v>
      </c>
      <c r="E18" s="15">
        <f>K18*4/12*0.03*0.7+(1600*0.03*3)+(1600*0.14*3)+(1600*0.05*2)</f>
        <v>1141.7600000000002</v>
      </c>
      <c r="F18" s="15">
        <f>L18*4/12*0.03*0.7+(1600*0.03*4)+(1600*0.14*4)+(1600*0.05*3)</f>
        <v>1524.8400000000001</v>
      </c>
      <c r="G18" s="15">
        <f>M18*4/12*0.03*0.7+(1600*0.03*5)+(1600*0.14*5)+(1600*0.05*4)</f>
        <v>1907.92</v>
      </c>
      <c r="H18" s="16">
        <f>N18*4/12*0.03*0.7+(1600*0.03*6)+(1600*0.14*6)+(1600*0.05*5)</f>
        <v>2291</v>
      </c>
      <c r="I18" s="17">
        <f>14800*4/12*0.03+(1600*0.03)+(1600*0.14)</f>
        <v>420</v>
      </c>
      <c r="J18" s="17">
        <v>19240</v>
      </c>
      <c r="K18" s="17">
        <v>23680</v>
      </c>
      <c r="L18" s="17">
        <v>28120</v>
      </c>
      <c r="M18" s="20">
        <v>32560</v>
      </c>
      <c r="N18" s="17">
        <v>37000</v>
      </c>
    </row>
    <row r="19" spans="1:14" ht="85.5" customHeight="1" thickBot="1" x14ac:dyDescent="0.5">
      <c r="A19" s="14" t="s">
        <v>33</v>
      </c>
      <c r="B19" s="14" t="s">
        <v>34</v>
      </c>
      <c r="C19" s="15">
        <f>8800*4/12*0.03*0.7+(1600*0.03)+(1600*0.14)</f>
        <v>333.6</v>
      </c>
      <c r="D19" s="15">
        <f>J19*4/12*0.03*0.7+(1600*0.03*2)+(1600*0.14*2)+(1600*0.05)</f>
        <v>704.08</v>
      </c>
      <c r="E19" s="15">
        <f>K19*4/12*0.03*0.7+(1600*0.03*3)+(1600*0.14*3)+(1600*0.05*2)</f>
        <v>1074.5600000000002</v>
      </c>
      <c r="F19" s="15">
        <f>L19*4/12*0.03*0.7+(1600*0.03*4)+(1600*0.14*4)+(1600*0.05*3)</f>
        <v>1445.04</v>
      </c>
      <c r="G19" s="15">
        <f>M19*4/12*0.03*0.7+(1600*0.03*5)+(1600*0.14*5)+(1600*0.05*4)</f>
        <v>1815.5200000000002</v>
      </c>
      <c r="H19" s="16">
        <f>N19*4/12*0.03*0.7+(1600*0.03*6)+(1600*0.14*6)+(1600*0.05*5)</f>
        <v>2186</v>
      </c>
      <c r="I19" s="17">
        <f>8800*4/12*0.03+(1600*0.03)+(1600*0.14)</f>
        <v>360</v>
      </c>
      <c r="J19" s="17">
        <v>11440</v>
      </c>
      <c r="K19" s="17">
        <v>14080</v>
      </c>
      <c r="L19" s="17">
        <v>16720</v>
      </c>
      <c r="M19" s="17">
        <v>19360</v>
      </c>
      <c r="N19" s="17">
        <v>22000</v>
      </c>
    </row>
    <row r="20" spans="1:14" ht="36.85" customHeight="1" thickBot="1" x14ac:dyDescent="0.5">
      <c r="A20" s="14" t="s">
        <v>35</v>
      </c>
      <c r="B20" s="14" t="s">
        <v>36</v>
      </c>
      <c r="C20" s="15">
        <f>8800*4/12*0.03*0.7+(1600*0.03)+(1600*0.14)</f>
        <v>333.6</v>
      </c>
      <c r="D20" s="15">
        <f>J20*4/12*0.03*0.7+(1600*0.03*2)+(1600*0.14*2)+(1600*0.05)</f>
        <v>704.08</v>
      </c>
      <c r="E20" s="15">
        <f>K20*4/12*0.03*0.7+(1600*0.03*3)+(1600*0.14*3)+(1600*0.05*2)</f>
        <v>1074.5600000000002</v>
      </c>
      <c r="F20" s="15">
        <f>L20*4/12*0.03*0.7+(1600*0.03*4)+(1600*0.14*4)+(1600*0.05*3)</f>
        <v>1445.04</v>
      </c>
      <c r="G20" s="15">
        <f>M20*4/12*0.03*0.7+(1600*0.03*5)+(1600*0.14*5)+(1600*0.05*4)</f>
        <v>1815.5200000000002</v>
      </c>
      <c r="H20" s="16">
        <f>N20*4/12*0.03*0.7+(1600*0.03*6)+(1600*0.14*6)+(1600*0.05*5)</f>
        <v>2186</v>
      </c>
      <c r="I20" s="17">
        <v>8800</v>
      </c>
      <c r="J20" s="17">
        <v>11440</v>
      </c>
      <c r="K20" s="17">
        <v>14080</v>
      </c>
      <c r="L20" s="17">
        <v>16720</v>
      </c>
      <c r="M20" s="17">
        <v>19360</v>
      </c>
      <c r="N20" s="17">
        <v>22000</v>
      </c>
    </row>
    <row r="21" spans="1:14" ht="36.85" customHeight="1" thickBot="1" x14ac:dyDescent="0.5">
      <c r="A21" s="14" t="s">
        <v>37</v>
      </c>
      <c r="B21" s="14" t="s">
        <v>38</v>
      </c>
      <c r="C21" s="15">
        <f>8800*4/12*0.03*0.7+(1600*0.03)+(1600*0.14)</f>
        <v>333.6</v>
      </c>
      <c r="D21" s="15">
        <f>J21*4/12*0.03*0.7+(1600*0.03*2)+(1600*0.14*2)+(1600*0.05)</f>
        <v>704.08</v>
      </c>
      <c r="E21" s="15">
        <f>K21*4/12*0.03*0.7+(1600*0.03*3)+(1600*0.14*3)+(1600*0.05*2)</f>
        <v>1074.5600000000002</v>
      </c>
      <c r="F21" s="15">
        <f>L21*4/12*0.03*0.7+(1600*0.03*4)+(1600*0.14*4)+(1600*0.05*3)</f>
        <v>1445.04</v>
      </c>
      <c r="G21" s="15">
        <f>M21*4/12*0.03*0.7+(1600*0.03*5)+(1600*0.14*5)+(1600*0.05*4)</f>
        <v>1815.5200000000002</v>
      </c>
      <c r="H21" s="16">
        <f>N21*4/12*0.03*0.7+(1600*0.03*6)+(1600*0.14*6)+(1600*0.05*5)</f>
        <v>2186</v>
      </c>
      <c r="I21" s="17">
        <f>8800*4/12*0.03+(1600*0.03)+(1600*0.14)</f>
        <v>360</v>
      </c>
      <c r="J21" s="17">
        <v>11440</v>
      </c>
      <c r="K21" s="17">
        <v>14080</v>
      </c>
      <c r="L21" s="17">
        <v>16720</v>
      </c>
      <c r="M21" s="17">
        <v>19360</v>
      </c>
      <c r="N21" s="17">
        <v>22000</v>
      </c>
    </row>
    <row r="22" spans="1:14" ht="36.85" customHeight="1" thickBot="1" x14ac:dyDescent="0.5">
      <c r="A22" s="14" t="s">
        <v>39</v>
      </c>
      <c r="B22" s="14" t="s">
        <v>40</v>
      </c>
      <c r="C22" s="15">
        <f>25000*4/12*0.03*0.7+(1600*0.03)+(1600*0.14)</f>
        <v>447</v>
      </c>
      <c r="D22" s="15">
        <f>J22*4/12*0.03*0.7+(1600*0.03*2)+(1600*0.14*2)+(1600*0.05)</f>
        <v>851.5</v>
      </c>
      <c r="E22" s="15">
        <f>K22*4/12*0.03*0.7+(1600*0.03*3)+(1600*0.14*3)+(1600*0.05*2)</f>
        <v>1256</v>
      </c>
      <c r="F22" s="15">
        <f>L22*4/12*0.03*0.7+(1600*0.03*4)+(1600*0.14*4)+(1600*0.05*3)</f>
        <v>1660.5</v>
      </c>
      <c r="G22" s="15">
        <f>M22*4/12*0.03*0.7+(1600*0.03*5)+(1600*0.14*5)+(1600*0.05*4)</f>
        <v>2065</v>
      </c>
      <c r="H22" s="16">
        <f>N22*4/12*0.03*0.7+(1600*0.03*6)+(1600*0.14*6)+(1600*0.05*5)</f>
        <v>2469.5</v>
      </c>
      <c r="I22" s="17">
        <f>25000*4/12*0.03+(1600*0.03)+(1600*0.14)</f>
        <v>522</v>
      </c>
      <c r="J22" s="17">
        <v>32500</v>
      </c>
      <c r="K22" s="17">
        <v>40000</v>
      </c>
      <c r="L22" s="17">
        <v>47500</v>
      </c>
      <c r="M22" s="17">
        <v>55000</v>
      </c>
      <c r="N22" s="17">
        <v>62500</v>
      </c>
    </row>
    <row r="23" spans="1:14" ht="87.75" customHeight="1" thickBot="1" x14ac:dyDescent="0.5">
      <c r="A23" s="14" t="s">
        <v>41</v>
      </c>
      <c r="B23" s="14" t="s">
        <v>42</v>
      </c>
      <c r="C23" s="15">
        <f>6800*4/12*0.03*0.7+(1600*0.03)+(1600*0.14)</f>
        <v>319.60000000000002</v>
      </c>
      <c r="D23" s="15">
        <f>J23*4/12*0.03*0.7+(1600*0.03*2)+(1600*0.14*2)+(1600*0.05)</f>
        <v>685.88000000000011</v>
      </c>
      <c r="E23" s="15">
        <f>K23*4/12*0.03*0.7+(1600*0.03*3)+(1600*0.14*3)+(1600*0.05*2)</f>
        <v>1052.1600000000001</v>
      </c>
      <c r="F23" s="15">
        <f>L23*4/12*0.03*0.7+(1600*0.03*4)+(1600*0.14*4)+(1600*0.05*3)</f>
        <v>1418.44</v>
      </c>
      <c r="G23" s="15">
        <f>M23*4/12*0.03*0.7+(1600*0.03*5)+(1600*0.14*5)+(1600*0.05*4)</f>
        <v>1784.7200000000003</v>
      </c>
      <c r="H23" s="16">
        <f>N23*4/12*0.03*0.7+(1600*0.03*6)+(1600*0.14*6)+(1600*0.05*5)</f>
        <v>2151</v>
      </c>
      <c r="I23" s="17">
        <f>6800*4/12*0.03+(1600*0.03)+(1600*0.14)</f>
        <v>340</v>
      </c>
      <c r="J23" s="17">
        <v>8840</v>
      </c>
      <c r="K23" s="17">
        <v>10880</v>
      </c>
      <c r="L23" s="17">
        <v>12920</v>
      </c>
      <c r="M23" s="17">
        <v>14960</v>
      </c>
      <c r="N23" s="17">
        <v>17000</v>
      </c>
    </row>
    <row r="24" spans="1:14" ht="249.75" customHeight="1" thickBot="1" x14ac:dyDescent="0.5">
      <c r="A24" s="14" t="s">
        <v>43</v>
      </c>
      <c r="B24" s="14" t="s">
        <v>44</v>
      </c>
      <c r="C24" s="15">
        <f>8800*4/12*0.03*0.7+(1600*0.03)+(1600*0.14)</f>
        <v>333.6</v>
      </c>
      <c r="D24" s="15">
        <f>J24*4/12*0.03*0.7+(1600*0.03*2)+(1600*0.14*2)+(1600*0.05)</f>
        <v>704.08</v>
      </c>
      <c r="E24" s="15">
        <f>K24*4/12*0.03*0.7+(1600*0.03*3)+(1600*0.14*3)+(1600*0.05*2)</f>
        <v>1074.5600000000002</v>
      </c>
      <c r="F24" s="15">
        <f>L24*4/12*0.03*0.7+(1600*0.03*4)+(1600*0.14*4)+(1600*0.05*3)</f>
        <v>1445.04</v>
      </c>
      <c r="G24" s="15">
        <f>M24*4/12*0.03*0.7+(1600*0.03*5)+(1600*0.14*5)+(1600*0.05*4)</f>
        <v>1815.5200000000002</v>
      </c>
      <c r="H24" s="16">
        <f>N24*4/12*0.03*0.7+(1600*0.03*6)+(1600*0.14*6)+(1600*0.05*5)</f>
        <v>2186</v>
      </c>
      <c r="I24" s="17">
        <f>8800*4/12*0.03+(1600*0.03)+(1600*0.14)</f>
        <v>360</v>
      </c>
      <c r="J24" s="17">
        <v>11440</v>
      </c>
      <c r="K24" s="17">
        <v>14080</v>
      </c>
      <c r="L24" s="17">
        <v>16720</v>
      </c>
      <c r="M24" s="17">
        <v>19360</v>
      </c>
      <c r="N24" s="17">
        <v>22000</v>
      </c>
    </row>
    <row r="25" spans="1:14" ht="110.25" customHeight="1" thickBot="1" x14ac:dyDescent="0.5">
      <c r="A25" s="14" t="s">
        <v>45</v>
      </c>
      <c r="B25" s="14" t="s">
        <v>46</v>
      </c>
      <c r="C25" s="15">
        <f>4400*4/12*0.03*0.7+(1600*0.03)+(1600*0.14)</f>
        <v>302.8</v>
      </c>
      <c r="D25" s="15">
        <f>J25*4/12*0.03*0.7+(1600*0.03*2)+(1600*0.14*2)+(1600*0.05)</f>
        <v>664.04000000000008</v>
      </c>
      <c r="E25" s="15">
        <f t="shared" ref="E17:E84" si="0">K25*4/12*0.03+(1600*0.03*3)+(1600*0.14*3)+(1600*0.05*2)</f>
        <v>1046.4000000000001</v>
      </c>
      <c r="F25" s="15">
        <f t="shared" ref="F17:F84" si="1">L25*4/12*0.03+(1600*0.03*4)+(1600*0.14*4)+(1600*0.05*3)</f>
        <v>1411.6000000000001</v>
      </c>
      <c r="G25" s="15">
        <f t="shared" ref="G17:G84" si="2">M25*4/12*0.03+(1600*0.03*5)+(1600*0.14*5)+(1600*0.05*4)</f>
        <v>1776.8000000000002</v>
      </c>
      <c r="H25" s="16">
        <f t="shared" ref="H17:H84" si="3">N25*4/12*0.03+(1600*0.03*6)+(1600*0.14*6)+(1600*0.05*5)</f>
        <v>2142</v>
      </c>
      <c r="I25" s="17">
        <f>4400*4/12*0.03+(1600*0.03)+(1600*0.14)</f>
        <v>316</v>
      </c>
      <c r="J25" s="17">
        <v>5720</v>
      </c>
      <c r="K25" s="17">
        <v>7040</v>
      </c>
      <c r="L25" s="17">
        <v>8360</v>
      </c>
      <c r="M25" s="17">
        <v>9680</v>
      </c>
      <c r="N25" s="17">
        <v>11000</v>
      </c>
    </row>
    <row r="26" spans="1:14" ht="36.85" customHeight="1" thickBot="1" x14ac:dyDescent="0.5">
      <c r="A26" s="14" t="s">
        <v>47</v>
      </c>
      <c r="B26" s="14" t="s">
        <v>48</v>
      </c>
      <c r="C26" s="15">
        <f>4400*4/12*0.03*0.7+(1600*0.03)+(1600*0.14)</f>
        <v>302.8</v>
      </c>
      <c r="D26" s="15">
        <f>J26*4/12*0.03*0.7+(1600*0.03*2)+(1600*0.14*2)+(1600*0.05)</f>
        <v>664.04000000000008</v>
      </c>
      <c r="E26" s="15">
        <f>K26*4/12*0.03*0.7+(1600*0.03*3)+(1600*0.14*3)+(1600*0.05*2)</f>
        <v>1025.2800000000002</v>
      </c>
      <c r="F26" s="15">
        <f>L26*4/12*0.03*0.7+(1600*0.03*4)+(1600*0.14*4)+(1600*0.05*3)</f>
        <v>1386.52</v>
      </c>
      <c r="G26" s="15">
        <f>M26*4/12*0.03*0.7+(1600*0.03*5)+(1600*0.14*5)+(1600*0.05*4)</f>
        <v>1747.7600000000002</v>
      </c>
      <c r="H26" s="16">
        <f>N26*4/12*0.03*0.7+(1600*0.03*6)+(1600*0.14*6)+(1600*0.05*5)</f>
        <v>2109</v>
      </c>
      <c r="I26" s="17">
        <f>4400*4/12*0.03+(1600*0.03)+(1600*0.14)</f>
        <v>316</v>
      </c>
      <c r="J26" s="17">
        <v>5720</v>
      </c>
      <c r="K26" s="17">
        <v>7040</v>
      </c>
      <c r="L26" s="17">
        <v>8360</v>
      </c>
      <c r="M26" s="17">
        <v>9680</v>
      </c>
      <c r="N26" s="17">
        <v>11000</v>
      </c>
    </row>
    <row r="27" spans="1:14" ht="80.25" customHeight="1" thickBot="1" x14ac:dyDescent="0.5">
      <c r="A27" s="14" t="s">
        <v>49</v>
      </c>
      <c r="B27" s="14" t="s">
        <v>50</v>
      </c>
      <c r="C27" s="15">
        <f>4400*4/12*0.03*0.7+(1600*0.03)+(1600*0.14)</f>
        <v>302.8</v>
      </c>
      <c r="D27" s="15">
        <f>J27*4/12*0.03*0.7+(1600*0.03*2)+(1600*0.14*2)+(1600*0.05)</f>
        <v>664.04000000000008</v>
      </c>
      <c r="E27" s="15">
        <f>K27*4/12*0.03*0.7+(1600*0.03*3)+(1600*0.14*3)+(1600*0.05*2)</f>
        <v>1025.2800000000002</v>
      </c>
      <c r="F27" s="15">
        <f>L27*4/12*0.03*0.7+(1600*0.03*4)+(1600*0.14*4)+(1600*0.05*3)</f>
        <v>1386.52</v>
      </c>
      <c r="G27" s="15">
        <f>M27*4/12*0.03*0.7+(1600*0.03*5)+(1600*0.14*5)+(1600*0.05*4)</f>
        <v>1747.7600000000002</v>
      </c>
      <c r="H27" s="16">
        <f>N27*4/12*0.03*0.7+(1600*0.03*6)+(1600*0.14*6)+(1600*0.05*5)</f>
        <v>2109</v>
      </c>
      <c r="I27" s="17">
        <f>4400*4/12*0.03*0.7+(1600*0.03)+(1600*0.14)</f>
        <v>302.8</v>
      </c>
      <c r="J27" s="17">
        <v>5720</v>
      </c>
      <c r="K27" s="17">
        <v>7040</v>
      </c>
      <c r="L27" s="17">
        <v>8360</v>
      </c>
      <c r="M27" s="17">
        <v>9680</v>
      </c>
      <c r="N27" s="17">
        <v>11000</v>
      </c>
    </row>
    <row r="28" spans="1:14" ht="61.5" customHeight="1" thickBot="1" x14ac:dyDescent="0.5">
      <c r="A28" s="14" t="s">
        <v>51</v>
      </c>
      <c r="B28" s="14" t="s">
        <v>52</v>
      </c>
      <c r="C28" s="15">
        <f>C27</f>
        <v>302.8</v>
      </c>
      <c r="D28" s="15">
        <f>J28*4/12*0.03*0.7+(1600*0.03*2)+(1600*0.14*2)+(1600*0.05)</f>
        <v>664.04000000000008</v>
      </c>
      <c r="E28" s="15">
        <f>K28*4/12*0.03*0.7+(1600*0.03*3)+(1600*0.14*3)+(1600*0.05*2)</f>
        <v>1025.2800000000002</v>
      </c>
      <c r="F28" s="15">
        <f>L28*4/12*0.03*0.7+(1600*0.03*4)+(1600*0.14*4)+(1600*0.05*3)</f>
        <v>1386.52</v>
      </c>
      <c r="G28" s="15">
        <f>M28*4/12*0.03*0.7+(1600*0.03*5)+(1600*0.14*5)+(1600*0.05*4)</f>
        <v>1747.7600000000002</v>
      </c>
      <c r="H28" s="16">
        <f>N28*4/12*0.03*0.7+(1600*0.03*6)+(1600*0.14*6)+(1600*0.05*5)</f>
        <v>2109</v>
      </c>
      <c r="I28" s="17">
        <f>I27</f>
        <v>302.8</v>
      </c>
      <c r="J28" s="17">
        <v>5720</v>
      </c>
      <c r="K28" s="17">
        <v>7040</v>
      </c>
      <c r="L28" s="17">
        <v>8360</v>
      </c>
      <c r="M28" s="17">
        <v>9680</v>
      </c>
      <c r="N28" s="17">
        <v>11000</v>
      </c>
    </row>
    <row r="29" spans="1:14" ht="99.75" customHeight="1" thickBot="1" x14ac:dyDescent="0.5">
      <c r="A29" s="14" t="s">
        <v>53</v>
      </c>
      <c r="B29" s="14" t="s">
        <v>54</v>
      </c>
      <c r="C29" s="15">
        <f t="shared" ref="C29:C33" si="4">C28</f>
        <v>302.8</v>
      </c>
      <c r="D29" s="15">
        <f>J29*4/12*0.03*0.7+(1600*0.03*2)+(1600*0.14*2)+(1600*0.05)</f>
        <v>664.04000000000008</v>
      </c>
      <c r="E29" s="15">
        <f>K29*4/12*0.03*0.7+(1600*0.03*3)+(1600*0.14*3)+(1600*0.05*2)</f>
        <v>1025.2800000000002</v>
      </c>
      <c r="F29" s="15">
        <f>L29*4/12*0.03*0.7+(1600*0.03*4)+(1600*0.14*4)+(1600*0.05*3)</f>
        <v>1386.52</v>
      </c>
      <c r="G29" s="15">
        <f>M29*4/12*0*0.73+(1600*0.03*5)+(1600*0.14*5)+(1600*0.05*4)</f>
        <v>1680.0000000000002</v>
      </c>
      <c r="H29" s="16">
        <f>N29*4/12*0.03*0.7+(1600*0.03*6)+(1600*0.14*6)+(1600*0.05*5)</f>
        <v>2109</v>
      </c>
      <c r="I29" s="17">
        <f t="shared" ref="I29:I32" si="5">I28</f>
        <v>302.8</v>
      </c>
      <c r="J29" s="17">
        <v>5720</v>
      </c>
      <c r="K29" s="17">
        <v>7040</v>
      </c>
      <c r="L29" s="17">
        <v>8360</v>
      </c>
      <c r="M29" s="17">
        <v>9680</v>
      </c>
      <c r="N29" s="17">
        <v>11000</v>
      </c>
    </row>
    <row r="30" spans="1:14" ht="102" customHeight="1" thickBot="1" x14ac:dyDescent="0.5">
      <c r="A30" s="14" t="s">
        <v>55</v>
      </c>
      <c r="B30" s="14" t="s">
        <v>56</v>
      </c>
      <c r="C30" s="15">
        <f t="shared" si="4"/>
        <v>302.8</v>
      </c>
      <c r="D30" s="15">
        <f>J30*4/12*0.03*0.7+(1600*0.03*2)+(1600*0.14*2)+(1600*0.05)</f>
        <v>664.04000000000008</v>
      </c>
      <c r="E30" s="15">
        <f>K30*4/12*0.03*0.7+(1600*0.03*3)+(1600*0.14*3)+(1600*0.05*2)</f>
        <v>1025.2800000000002</v>
      </c>
      <c r="F30" s="15">
        <f>L30*4/12*0.03*0.7+(1600*0.03*4)+(1600*0.14*4)+(1600*0.05*3)</f>
        <v>1386.52</v>
      </c>
      <c r="G30" s="15">
        <f>M30*4/12*0*0.73+(1600*0.03*5)+(1600*0.14*5)+(1600*0.05*4)</f>
        <v>1680.0000000000002</v>
      </c>
      <c r="H30" s="16">
        <f>N30*4/12*0.03*0.7+(1600*0.03*6)+(1600*0.14*6)+(1600*0.05*5)</f>
        <v>2109</v>
      </c>
      <c r="I30" s="17">
        <f t="shared" si="5"/>
        <v>302.8</v>
      </c>
      <c r="J30" s="17">
        <v>5720</v>
      </c>
      <c r="K30" s="17">
        <v>7040</v>
      </c>
      <c r="L30" s="17">
        <v>8360</v>
      </c>
      <c r="M30" s="17">
        <v>9680</v>
      </c>
      <c r="N30" s="17">
        <v>11000</v>
      </c>
    </row>
    <row r="31" spans="1:14" ht="108.4" customHeight="1" thickBot="1" x14ac:dyDescent="0.5">
      <c r="A31" s="14" t="s">
        <v>57</v>
      </c>
      <c r="B31" s="14" t="s">
        <v>58</v>
      </c>
      <c r="C31" s="15">
        <f t="shared" si="4"/>
        <v>302.8</v>
      </c>
      <c r="D31" s="15">
        <f>J31*4/12*0.03*0.7+(1600*0.03*2)+(1600*0.14*2)+(1600*0.05)</f>
        <v>664.04000000000008</v>
      </c>
      <c r="E31" s="15">
        <f>K31*4/12*0.03*0.7+(1600*0.03*3)+(1600*0.14*3)+(1600*0.05*2)</f>
        <v>1025.2800000000002</v>
      </c>
      <c r="F31" s="15">
        <f>L31*4/12*0.03*0.7+(1600*0.03*4)+(1600*0.14*4)+(1600*0.05*3)</f>
        <v>1386.52</v>
      </c>
      <c r="G31" s="15">
        <f>M31*4/12*0*0.73+(1600*0.03*5)+(1600*0.14*5)+(1600*0.05*4)</f>
        <v>1680.0000000000002</v>
      </c>
      <c r="H31" s="16">
        <f>N31*4/12*0.03*0.7+(1600*0.03*6)+(1600*0.14*6)+(1600*0.05*5)</f>
        <v>2109</v>
      </c>
      <c r="I31" s="17">
        <f t="shared" si="5"/>
        <v>302.8</v>
      </c>
      <c r="J31" s="17">
        <v>5720</v>
      </c>
      <c r="K31" s="17">
        <v>7040</v>
      </c>
      <c r="L31" s="17">
        <v>8360</v>
      </c>
      <c r="M31" s="17">
        <v>9680</v>
      </c>
      <c r="N31" s="17">
        <v>11000</v>
      </c>
    </row>
    <row r="32" spans="1:14" ht="83.25" customHeight="1" thickBot="1" x14ac:dyDescent="0.5">
      <c r="A32" s="14" t="s">
        <v>59</v>
      </c>
      <c r="B32" s="14" t="s">
        <v>60</v>
      </c>
      <c r="C32" s="15">
        <f t="shared" si="4"/>
        <v>302.8</v>
      </c>
      <c r="D32" s="15">
        <f>J32*4/12*0.03*0.7+(1600*0.03*2)+(1600*0.14*2)+(1600*0.05)</f>
        <v>664.04000000000008</v>
      </c>
      <c r="E32" s="15">
        <f t="shared" si="0"/>
        <v>1046.4000000000001</v>
      </c>
      <c r="F32" s="15">
        <f t="shared" si="1"/>
        <v>1411.6000000000001</v>
      </c>
      <c r="G32" s="15">
        <f t="shared" si="2"/>
        <v>1776.8000000000002</v>
      </c>
      <c r="H32" s="16">
        <f t="shared" si="3"/>
        <v>2142</v>
      </c>
      <c r="I32" s="17">
        <f t="shared" si="5"/>
        <v>302.8</v>
      </c>
      <c r="J32" s="17">
        <v>5720</v>
      </c>
      <c r="K32" s="17">
        <v>7040</v>
      </c>
      <c r="L32" s="17">
        <v>8360</v>
      </c>
      <c r="M32" s="17">
        <v>9680</v>
      </c>
      <c r="N32" s="17">
        <v>11000</v>
      </c>
    </row>
    <row r="33" spans="1:14" ht="96.75" customHeight="1" thickBot="1" x14ac:dyDescent="0.5">
      <c r="A33" s="14" t="s">
        <v>61</v>
      </c>
      <c r="B33" s="14" t="s">
        <v>62</v>
      </c>
      <c r="C33" s="15">
        <f>320</f>
        <v>320</v>
      </c>
      <c r="D33" s="15">
        <f>J33*4/12*0.03*0.7+(1600*0.03*2)+(1600*0.14*2)+(1600*0.05)</f>
        <v>685.88000000000011</v>
      </c>
      <c r="E33" s="15">
        <f>K33*4/12*0.03*0.7+(1600*0.03*3)+(1600*0.14*3)+(1600*0.05*2)</f>
        <v>1052.1600000000001</v>
      </c>
      <c r="F33" s="15">
        <f>L33*4/12*0.03*0.7+(1600*0.03*4)+(1600*0.14*4)+(1600*0.05*3)</f>
        <v>1418.44</v>
      </c>
      <c r="G33" s="15">
        <f>M33*4/12*0*0.73+(1600*0.03*5)+(1600*0.14*5)+(1600*0.05*4)</f>
        <v>1680.0000000000002</v>
      </c>
      <c r="H33" s="16">
        <f>N33*4/12*0.03*0.7+(1600*0.03*6)+(1600*0.14*6)+(1600*0.05*5)</f>
        <v>2151</v>
      </c>
      <c r="I33" s="17">
        <f>6800*4/12*0.03+(1600*0.03)+(1600*0.14)</f>
        <v>340</v>
      </c>
      <c r="J33" s="17">
        <v>8840</v>
      </c>
      <c r="K33" s="17">
        <v>10880</v>
      </c>
      <c r="L33" s="17">
        <v>12920</v>
      </c>
      <c r="M33" s="17">
        <v>14960</v>
      </c>
      <c r="N33" s="17">
        <v>17000</v>
      </c>
    </row>
    <row r="34" spans="1:14" ht="84" customHeight="1" thickBot="1" x14ac:dyDescent="0.5">
      <c r="A34" s="14" t="s">
        <v>63</v>
      </c>
      <c r="B34" s="14" t="s">
        <v>64</v>
      </c>
      <c r="C34" s="15">
        <f>6800*4/12*0.03*0.7+(1600*0.03)+(1600*0.14)</f>
        <v>319.60000000000002</v>
      </c>
      <c r="D34" s="15">
        <f>J34*4/12*0.03*0.7+(1600*0.03*2)+(1600*0.14*2)+(1600*0.05)</f>
        <v>685.88000000000011</v>
      </c>
      <c r="E34" s="15">
        <f>K34*4/12*0.03*0.7+(1600*0.03*3)+(1600*0.14*3)+(1600*0.05*2)</f>
        <v>1052.1600000000001</v>
      </c>
      <c r="F34" s="15">
        <f>L34*4/12*0.03*0.7+(1600*0.03*4)+(1600*0.14*4)+(1600*0.05*3)</f>
        <v>1418.44</v>
      </c>
      <c r="G34" s="15">
        <f>M34*4/12*0*0.73+(1600*0.03*5)+(1600*0.14*5)+(1600*0.05*4)</f>
        <v>1680.0000000000002</v>
      </c>
      <c r="H34" s="16">
        <f>N34*4/12*0.03*0.7+(1600*0.03*6)+(1600*0.14*6)+(1600*0.05*5)</f>
        <v>2151</v>
      </c>
      <c r="I34" s="17">
        <f>6800*4/12*0.03+(1600*0.03)+(1600*0.14)</f>
        <v>340</v>
      </c>
      <c r="J34" s="17">
        <v>8840</v>
      </c>
      <c r="K34" s="17">
        <v>10880</v>
      </c>
      <c r="L34" s="17">
        <v>12920</v>
      </c>
      <c r="M34" s="17">
        <v>14960</v>
      </c>
      <c r="N34" s="17">
        <v>17000</v>
      </c>
    </row>
    <row r="35" spans="1:14" ht="133.5" customHeight="1" thickBot="1" x14ac:dyDescent="0.5">
      <c r="A35" s="14" t="s">
        <v>65</v>
      </c>
      <c r="B35" s="14" t="s">
        <v>66</v>
      </c>
      <c r="C35" s="15">
        <f>20000*4/12*0.03*0.7+(1600*0.03)+(1600*0.14)</f>
        <v>412</v>
      </c>
      <c r="D35" s="15">
        <f>J35*4/12*0.03*0.7+(1600*0.03*2)+(1600*0.14*2)+(1600*0.05)</f>
        <v>806</v>
      </c>
      <c r="E35" s="15">
        <f>K35*4/12*0.03*0.7+(1600*0.03*3)+(1600*0.14*3)+(1600*0.05*2)</f>
        <v>1200</v>
      </c>
      <c r="F35" s="15">
        <f>L35*4/12*0.03*0.7+(1600*0.03*4)+(1600*0.14*4)+(1600*0.05*3)</f>
        <v>1594</v>
      </c>
      <c r="G35" s="15">
        <f>M35*4/12*0*0.73+(1600*0.03*5)+(1600*0.14*5)+(1600*0.05*4)</f>
        <v>1680.0000000000002</v>
      </c>
      <c r="H35" s="16">
        <f>N35*4/12*0.03*0.7+(1600*0.03*6)+(1600*0.14*6)+(1600*0.05*5)</f>
        <v>2382</v>
      </c>
      <c r="I35" s="17">
        <f>20000*4/12*0.03+(1600*0.03)+(1600*0.14)</f>
        <v>472</v>
      </c>
      <c r="J35" s="17">
        <v>26000</v>
      </c>
      <c r="K35" s="17">
        <v>32000</v>
      </c>
      <c r="L35" s="17">
        <v>38000</v>
      </c>
      <c r="M35" s="17">
        <v>44000</v>
      </c>
      <c r="N35" s="17">
        <v>50000</v>
      </c>
    </row>
    <row r="36" spans="1:14" ht="36.85" customHeight="1" thickBot="1" x14ac:dyDescent="0.5">
      <c r="A36" s="14" t="s">
        <v>67</v>
      </c>
      <c r="B36" s="14" t="s">
        <v>68</v>
      </c>
      <c r="C36" s="15">
        <f>12800*4/12*0.03*0.7+(1600*0.03)+(1600*0.14)</f>
        <v>361.6</v>
      </c>
      <c r="D36" s="15">
        <f>J36*4/12*0.03*0.7+(1600*0.03*2)+(1600*0.14*2)+(1600*0.05)</f>
        <v>740.48</v>
      </c>
      <c r="E36" s="15">
        <f>K36*4/12*0.03*0.7+(1600*0.03*3)+(1600*0.14*3)+(1600*0.05*2)</f>
        <v>1119.3600000000001</v>
      </c>
      <c r="F36" s="15">
        <f>L36*4/12*0.03*0.7+(1600*0.03*4)+(1600*0.14*4)+(1600*0.05*3)</f>
        <v>1498.2400000000002</v>
      </c>
      <c r="G36" s="15">
        <f>M36*4/12*0*0.73+(1600*0.03*5)+(1600*0.14*5)+(1600*0.05*4)</f>
        <v>1680.0000000000002</v>
      </c>
      <c r="H36" s="16">
        <f>N36*4/12*0.03*0.7+(1600*0.03*6)+(1600*0.14*6)+(1600*0.05*5)</f>
        <v>2256</v>
      </c>
      <c r="I36" s="17">
        <f>12800*4/12*0.03+(1600*0.03)+(1600*0.14)</f>
        <v>400</v>
      </c>
      <c r="J36" s="17">
        <v>16640</v>
      </c>
      <c r="K36" s="17">
        <v>20480</v>
      </c>
      <c r="L36" s="17">
        <v>24320</v>
      </c>
      <c r="M36" s="17">
        <v>28160</v>
      </c>
      <c r="N36" s="17">
        <v>32000</v>
      </c>
    </row>
    <row r="37" spans="1:14" ht="36.85" customHeight="1" thickBot="1" x14ac:dyDescent="0.5">
      <c r="A37" s="14" t="s">
        <v>69</v>
      </c>
      <c r="B37" s="14" t="s">
        <v>70</v>
      </c>
      <c r="C37" s="15">
        <f>8800*4/12*0.03*0.7+(1600*0.03)+(1600*0.14)</f>
        <v>333.6</v>
      </c>
      <c r="D37" s="15">
        <f>J37*4/12*0.03*0.7+(1600*0.03*2)+(1600*0.14*2)+(1600*0.05)</f>
        <v>704.08</v>
      </c>
      <c r="E37" s="15">
        <f>K37*4/12*0.03*0.7+(1600*0.03*3)+(1600*0.14*3)+(1600*0.05*2)</f>
        <v>1074.5600000000002</v>
      </c>
      <c r="F37" s="15">
        <f>L37*4/12*0.03*0.7+(1600*0.03*4)+(1600*0.14*4)+(1600*0.05*3)</f>
        <v>1445.04</v>
      </c>
      <c r="G37" s="15">
        <f>M37*4/12*0*0.73+(1600*0.03*5)+(1600*0.14*5)+(1600*0.05*4)</f>
        <v>1680.0000000000002</v>
      </c>
      <c r="H37" s="16">
        <f>N37*4/12*0.03*0.7+(1600*0.03*6)+(1600*0.14*6)+(1600*0.05*5)</f>
        <v>2186</v>
      </c>
      <c r="I37" s="17">
        <f>8800*4/12*0.03+(1600*0.03)+(1600*0.14)</f>
        <v>360</v>
      </c>
      <c r="J37" s="17">
        <v>11440</v>
      </c>
      <c r="K37" s="17">
        <v>14080</v>
      </c>
      <c r="L37" s="17">
        <v>16720</v>
      </c>
      <c r="M37" s="17">
        <v>19360</v>
      </c>
      <c r="N37" s="17">
        <v>22000</v>
      </c>
    </row>
    <row r="38" spans="1:14" ht="168" customHeight="1" thickBot="1" x14ac:dyDescent="0.5">
      <c r="A38" s="14" t="s">
        <v>71</v>
      </c>
      <c r="B38" s="14" t="s">
        <v>72</v>
      </c>
      <c r="C38" s="15">
        <f>12800*4/12*0.03*0.7+(1600*0.03)+(1600*0.14)</f>
        <v>361.6</v>
      </c>
      <c r="D38" s="15">
        <f>J38*4/12*0.03*0.7+(1600*0.03*2)+(1600*0.14*2)+(1600*0.05)</f>
        <v>740.48</v>
      </c>
      <c r="E38" s="15">
        <f>K38*4/12*0.03*0.7+(1600*0.03*3)+(1600*0.14*3)+(1600*0.05*2)</f>
        <v>1119.3600000000001</v>
      </c>
      <c r="F38" s="15">
        <f>L38*4/12*0.03*0.7+(1600*0.03*4)+(1600*0.14*4)+(1600*0.05*3)</f>
        <v>1498.2400000000002</v>
      </c>
      <c r="G38" s="15">
        <f>M38*4/12*0*0.73+(1600*0.03*5)+(1600*0.14*5)+(1600*0.05*4)</f>
        <v>1680.0000000000002</v>
      </c>
      <c r="H38" s="16">
        <f>N38*4/12*0.03*0.7+(1600*0.03*6)+(1600*0.14*6)+(1600*0.05*5)</f>
        <v>2256</v>
      </c>
      <c r="I38" s="21">
        <f>12800*4/12*0.03+(1600*0.03)+(1600*0.14)</f>
        <v>400</v>
      </c>
      <c r="J38" s="21">
        <v>16640</v>
      </c>
      <c r="K38" s="21">
        <v>20480</v>
      </c>
      <c r="L38" s="21">
        <v>24320</v>
      </c>
      <c r="M38" s="21">
        <v>28160</v>
      </c>
      <c r="N38" s="21">
        <v>32000</v>
      </c>
    </row>
    <row r="39" spans="1:14" ht="64.5" customHeight="1" thickBot="1" x14ac:dyDescent="0.5">
      <c r="A39" s="14" t="s">
        <v>73</v>
      </c>
      <c r="B39" s="14" t="s">
        <v>74</v>
      </c>
      <c r="C39" s="15">
        <f>8800*4/12*0.03*0.7+(1600*0.03)+(1600*0.14)</f>
        <v>333.6</v>
      </c>
      <c r="D39" s="15">
        <f>J39*4/12*0.03*0.7+(1600*0.03*2)+(1600*0.14*2)+(1600*0.05)</f>
        <v>704.08</v>
      </c>
      <c r="E39" s="15">
        <f>K39*4/12*0.03*0.7+(1600*0.03*3)+(1600*0.14*3)+(1600*0.05*2)</f>
        <v>1074.5600000000002</v>
      </c>
      <c r="F39" s="15">
        <f>L39*4/12*0.03*0.7+(1600*0.03*4)+(1600*0.14*4)+(1600*0.05*3)</f>
        <v>1445.04</v>
      </c>
      <c r="G39" s="15">
        <f>M39*4/12*0*0.73+(1600*0.03*5)+(1600*0.14*5)+(1600*0.05*4)</f>
        <v>1680.0000000000002</v>
      </c>
      <c r="H39" s="16">
        <f>N39*4/12*0.03*0.7+(1600*0.03*6)+(1600*0.14*6)+(1600*0.05*5)</f>
        <v>2186</v>
      </c>
      <c r="I39" s="21">
        <f>8800*4/12*0.03+(1600*0.03)+(1600*0.14)</f>
        <v>360</v>
      </c>
      <c r="J39" s="21">
        <v>11440</v>
      </c>
      <c r="K39" s="21">
        <v>14080</v>
      </c>
      <c r="L39" s="21">
        <v>16720</v>
      </c>
      <c r="M39" s="21">
        <v>19360</v>
      </c>
      <c r="N39" s="21">
        <v>22000</v>
      </c>
    </row>
    <row r="40" spans="1:14" ht="115.5" customHeight="1" thickBot="1" x14ac:dyDescent="0.5">
      <c r="A40" s="14" t="s">
        <v>75</v>
      </c>
      <c r="B40" s="14" t="s">
        <v>76</v>
      </c>
      <c r="C40" s="15">
        <f>8800*4/12*0.03*0.7+(1600*0.03)+(1600*0.14)</f>
        <v>333.6</v>
      </c>
      <c r="D40" s="15">
        <f>J40*4/12*0.03*0.7+(1600*0.03*2)+(1600*0.14*2)+(1600*0.05)</f>
        <v>704.08</v>
      </c>
      <c r="E40" s="15">
        <f t="shared" si="0"/>
        <v>1116.8000000000002</v>
      </c>
      <c r="F40" s="15">
        <f t="shared" si="1"/>
        <v>1495.2</v>
      </c>
      <c r="G40" s="15">
        <f t="shared" si="2"/>
        <v>1873.6000000000004</v>
      </c>
      <c r="H40" s="16">
        <f t="shared" si="3"/>
        <v>2252</v>
      </c>
      <c r="I40" s="21">
        <f>8800*4/12*0.03+(1600*0.03)+(1600*0.14)</f>
        <v>360</v>
      </c>
      <c r="J40" s="21">
        <v>11440</v>
      </c>
      <c r="K40" s="21">
        <v>14080</v>
      </c>
      <c r="L40" s="21">
        <v>16720</v>
      </c>
      <c r="M40" s="21">
        <v>19360</v>
      </c>
      <c r="N40" s="21">
        <v>22000</v>
      </c>
    </row>
    <row r="41" spans="1:14" ht="36.85" customHeight="1" thickBot="1" x14ac:dyDescent="0.5">
      <c r="A41" s="14" t="s">
        <v>77</v>
      </c>
      <c r="B41" s="14" t="s">
        <v>78</v>
      </c>
      <c r="C41" s="14"/>
      <c r="D41" s="15"/>
      <c r="E41" s="15"/>
      <c r="F41" s="15"/>
      <c r="G41" s="15"/>
      <c r="H41" s="16"/>
      <c r="I41" s="21"/>
      <c r="J41" s="21"/>
      <c r="K41" s="21"/>
      <c r="L41" s="21"/>
      <c r="M41" s="21"/>
      <c r="N41" s="21"/>
    </row>
    <row r="42" spans="1:14" ht="68.25" customHeight="1" thickBot="1" x14ac:dyDescent="0.5">
      <c r="A42" s="14"/>
      <c r="B42" s="14" t="s">
        <v>79</v>
      </c>
      <c r="C42" s="15">
        <f>4400*4/12*0.03*0.7+(1600*0.03)+(1600*0.14)</f>
        <v>302.8</v>
      </c>
      <c r="D42" s="15">
        <f>J42*4/12*0.03*0.7+(1600*0.03*2)+(1600*0.14*2)+(1600*0.05)</f>
        <v>664.04000000000008</v>
      </c>
      <c r="E42" s="15">
        <f>K42*4/12*0.03*0.7+(1600*0.03*3)+(1600*0.14*3)+(1600*0.05*2)</f>
        <v>1025.2800000000002</v>
      </c>
      <c r="F42" s="15">
        <f>L42*4/12*0.03*0.7+(1600*0.03*4)+(1600*0.14*4)+(1600*0.05*3)</f>
        <v>1386.52</v>
      </c>
      <c r="G42" s="15">
        <f>M42*4/12*0*0.73+(1600*0.03*5)+(1600*0.14*5)+(1600*0.05*4)</f>
        <v>1680.0000000000002</v>
      </c>
      <c r="H42" s="16">
        <f>N42*4/12*0.03*0.7+(1600*0.03*6)+(1600*0.14*6)+(1600*0.05*5)</f>
        <v>2109</v>
      </c>
      <c r="I42" s="21">
        <f>4400*4/12*0.03+(1600*0.03)+(1600*0.14)</f>
        <v>316</v>
      </c>
      <c r="J42" s="21">
        <v>5720</v>
      </c>
      <c r="K42" s="21">
        <v>7040</v>
      </c>
      <c r="L42" s="21">
        <v>8360</v>
      </c>
      <c r="M42" s="21">
        <v>9680</v>
      </c>
      <c r="N42" s="21">
        <v>11000</v>
      </c>
    </row>
    <row r="43" spans="1:14" ht="83.25" customHeight="1" thickBot="1" x14ac:dyDescent="0.5">
      <c r="A43" s="14"/>
      <c r="B43" s="14" t="s">
        <v>80</v>
      </c>
      <c r="C43" s="15">
        <f>4400*4/12*0.03*0.7+(1600*0.03)+(1600*0.14)</f>
        <v>302.8</v>
      </c>
      <c r="D43" s="15">
        <f>J43*4/12*0.03*0.7+(1600*0.03*2)+(1600*0.14*2)+(1600*0.05)</f>
        <v>664.04000000000008</v>
      </c>
      <c r="E43" s="15">
        <f>K43*4/12*0.03*0.7+(1600*0.03*3)+(1600*0.14*3)+(1600*0.05*2)</f>
        <v>1025.2800000000002</v>
      </c>
      <c r="F43" s="15">
        <f>L43*4/12*0.03*0.7+(1600*0.03*4)+(1600*0.14*4)+(1600*0.05*3)</f>
        <v>1386.52</v>
      </c>
      <c r="G43" s="15">
        <f>M43*4/12*0*0.73+(1600*0.03*5)+(1600*0.14*5)+(1600*0.05*4)</f>
        <v>1680.0000000000002</v>
      </c>
      <c r="H43" s="16">
        <f>N43*4/12*0.03*0.7+(1600*0.03*6)+(1600*0.14*6)+(1600*0.05*5)</f>
        <v>2109</v>
      </c>
      <c r="I43" s="21">
        <f t="shared" ref="I43:I45" si="6">4400*4/12*0.03+(1600*0.03)+(1600*0.14)</f>
        <v>316</v>
      </c>
      <c r="J43" s="21">
        <v>5720</v>
      </c>
      <c r="K43" s="21">
        <v>7040</v>
      </c>
      <c r="L43" s="21">
        <v>8360</v>
      </c>
      <c r="M43" s="21">
        <v>9680</v>
      </c>
      <c r="N43" s="21">
        <v>11000</v>
      </c>
    </row>
    <row r="44" spans="1:14" ht="70.5" customHeight="1" thickBot="1" x14ac:dyDescent="0.5">
      <c r="A44" s="14" t="s">
        <v>81</v>
      </c>
      <c r="B44" s="14" t="s">
        <v>82</v>
      </c>
      <c r="C44" s="15">
        <f>4400*4/12*0.03*0.7+(1600*0.03)+(1600*0.14)</f>
        <v>302.8</v>
      </c>
      <c r="D44" s="15">
        <f>J44*4/12*0.03*0.7+(1600*0.03*2)+(1600*0.14*2)+(1600*0.05)</f>
        <v>664.04000000000008</v>
      </c>
      <c r="E44" s="15">
        <f>K44*4/12*0.03*0.7+(1600*0.03*3)+(1600*0.14*3)+(1600*0.05*2)</f>
        <v>1025.2800000000002</v>
      </c>
      <c r="F44" s="15">
        <f>L44*4/12*0.03*0.7+(1600*0.03*4)+(1600*0.14*4)+(1600*0.05*3)</f>
        <v>1386.52</v>
      </c>
      <c r="G44" s="15">
        <f>M44*4/12*0*0.73+(1600*0.03*5)+(1600*0.14*5)+(1600*0.05*4)</f>
        <v>1680.0000000000002</v>
      </c>
      <c r="H44" s="16">
        <f>N44*4/12*0.03*0.7+(1600*0.03*6)+(1600*0.14*6)+(1600*0.05*5)</f>
        <v>2109</v>
      </c>
      <c r="I44" s="21">
        <f t="shared" si="6"/>
        <v>316</v>
      </c>
      <c r="J44" s="21">
        <v>5720</v>
      </c>
      <c r="K44" s="21">
        <v>7040</v>
      </c>
      <c r="L44" s="21">
        <v>8360</v>
      </c>
      <c r="M44" s="21">
        <v>9680</v>
      </c>
      <c r="N44" s="21">
        <v>11000</v>
      </c>
    </row>
    <row r="45" spans="1:14" ht="36.85" customHeight="1" thickBot="1" x14ac:dyDescent="0.5">
      <c r="A45" s="14" t="s">
        <v>83</v>
      </c>
      <c r="B45" s="14" t="s">
        <v>84</v>
      </c>
      <c r="C45" s="15">
        <f>4400*4/12*0.03*0.7+(1600*0.03)+(1600*0.14)</f>
        <v>302.8</v>
      </c>
      <c r="D45" s="15">
        <f>J45*4/12*0.03*0.7+(1600*0.03*2)+(1600*0.14*2)+(1600*0.05)</f>
        <v>664.04000000000008</v>
      </c>
      <c r="E45" s="15">
        <f>K45*4/12*0.03*0.7+(1600*0.03*3)+(1600*0.14*3)+(1600*0.05*2)</f>
        <v>1025.2800000000002</v>
      </c>
      <c r="F45" s="15">
        <f>L45*4/12*0.03*0.7+(1600*0.03*4)+(1600*0.14*4)+(1600*0.05*3)</f>
        <v>1386.52</v>
      </c>
      <c r="G45" s="15">
        <f>M45*4/12*0*0.73+(1600*0.03*5)+(1600*0.14*5)+(1600*0.05*4)</f>
        <v>1680.0000000000002</v>
      </c>
      <c r="H45" s="16">
        <f>N45*4/12*0.03*0.7+(1600*0.03*6)+(1600*0.14*6)+(1600*0.05*5)</f>
        <v>2109</v>
      </c>
      <c r="I45" s="21">
        <f t="shared" si="6"/>
        <v>316</v>
      </c>
      <c r="J45" s="21">
        <v>5720</v>
      </c>
      <c r="K45" s="21">
        <v>7040</v>
      </c>
      <c r="L45" s="21">
        <v>8360</v>
      </c>
      <c r="M45" s="21">
        <v>9680</v>
      </c>
      <c r="N45" s="21">
        <v>11000</v>
      </c>
    </row>
    <row r="46" spans="1:14" ht="36.85" customHeight="1" thickBot="1" x14ac:dyDescent="0.5">
      <c r="A46" s="14" t="s">
        <v>85</v>
      </c>
      <c r="B46" s="14" t="s">
        <v>86</v>
      </c>
      <c r="C46" s="14"/>
      <c r="D46" s="15"/>
      <c r="E46" s="15"/>
      <c r="F46" s="15"/>
      <c r="G46" s="15"/>
      <c r="H46" s="16"/>
      <c r="I46" s="21"/>
      <c r="J46" s="21"/>
      <c r="K46" s="21"/>
      <c r="L46" s="21"/>
      <c r="M46" s="21"/>
      <c r="N46" s="21"/>
    </row>
    <row r="47" spans="1:14" ht="84" customHeight="1" thickBot="1" x14ac:dyDescent="0.5">
      <c r="A47" s="14"/>
      <c r="B47" s="14" t="s">
        <v>87</v>
      </c>
      <c r="C47" s="14"/>
      <c r="D47" s="15"/>
      <c r="E47" s="15"/>
      <c r="F47" s="15"/>
      <c r="G47" s="15"/>
      <c r="H47" s="16"/>
      <c r="I47" s="21"/>
      <c r="J47" s="21"/>
      <c r="K47" s="21"/>
      <c r="L47" s="21"/>
      <c r="M47" s="21"/>
      <c r="N47" s="21"/>
    </row>
    <row r="48" spans="1:14" ht="36.85" customHeight="1" thickBot="1" x14ac:dyDescent="0.5">
      <c r="A48" s="14"/>
      <c r="B48" s="14" t="s">
        <v>88</v>
      </c>
      <c r="C48" s="15">
        <f>6500*4/12*0.03*0.7+(1600*0.03)+(1600*0.14)</f>
        <v>317.5</v>
      </c>
      <c r="D48" s="15">
        <f>J48*4/12*0.03*0.7+(1600*0.03*2)+(1600*0.14*2)+(1600*0.05)</f>
        <v>683.15000000000009</v>
      </c>
      <c r="E48" s="15">
        <f>K48*4/12*0.03*0.7+(1600*0.03*3)+(1600*0.14*3)+(1600*0.05*2)</f>
        <v>1048.8000000000002</v>
      </c>
      <c r="F48" s="15">
        <f>L48*4/12*0.03*0.7+(1600*0.03*4)+(1600*0.14*4)+(1600*0.05*3)</f>
        <v>1414.45</v>
      </c>
      <c r="G48" s="15">
        <f>M48*4/12*0*0.73+(1600*0.03*5)+(1600*0.14*5)+(1600*0.05*4)</f>
        <v>1680.0000000000002</v>
      </c>
      <c r="H48" s="16">
        <f>N48*4/12*0.03*0.7+(1600*0.03*6)+(1600*0.14*6)+(1600*0.05*5)</f>
        <v>2145.75</v>
      </c>
      <c r="I48" s="21">
        <f>6500*4/12*0.03+(1600*0.03)+(1600*0.14)</f>
        <v>337</v>
      </c>
      <c r="J48" s="21">
        <v>8450</v>
      </c>
      <c r="K48" s="21">
        <v>10400</v>
      </c>
      <c r="L48" s="21">
        <v>12350</v>
      </c>
      <c r="M48" s="21">
        <v>14300</v>
      </c>
      <c r="N48" s="21">
        <v>16250</v>
      </c>
    </row>
    <row r="49" spans="1:14" ht="36.85" customHeight="1" thickBot="1" x14ac:dyDescent="0.5">
      <c r="A49" s="14"/>
      <c r="B49" s="14" t="s">
        <v>89</v>
      </c>
      <c r="C49" s="15">
        <f>8800*4/12*0.03*0.7+(1600*0.03)+(1600*0.14)</f>
        <v>333.6</v>
      </c>
      <c r="D49" s="15">
        <f>J49*4/12*0.03*0.7+(1600*0.03*2)+(1600*0.14*2)+(1600*0.05)</f>
        <v>704.08</v>
      </c>
      <c r="E49" s="15">
        <f>K49*4/12*0.03*0.7+(1600*0.03*3)+(1600*0.14*3)+(1600*0.05*2)</f>
        <v>1074.5600000000002</v>
      </c>
      <c r="F49" s="15">
        <f>L49*4/12*0.03*0.7+(1600*0.03*4)+(1600*0.14*4)+(1600*0.05*3)</f>
        <v>1445.04</v>
      </c>
      <c r="G49" s="15">
        <f>M49*4/12*0*0.73+(1600*0.03*5)+(1600*0.14*5)+(1600*0.05*4)</f>
        <v>1680.0000000000002</v>
      </c>
      <c r="H49" s="16">
        <f>N49*4/12*0.03*0.7+(1600*0.03*6)+(1600*0.14*6)+(1600*0.05*5)</f>
        <v>2186</v>
      </c>
      <c r="I49" s="21">
        <f>8800*4/12*0.03+(1600*0.03)+(1600*0.14)</f>
        <v>360</v>
      </c>
      <c r="J49" s="21">
        <v>11440</v>
      </c>
      <c r="K49" s="21">
        <v>14080</v>
      </c>
      <c r="L49" s="21">
        <v>16720</v>
      </c>
      <c r="M49" s="21">
        <v>19360</v>
      </c>
      <c r="N49" s="21">
        <v>22000</v>
      </c>
    </row>
    <row r="50" spans="1:14" ht="36.85" customHeight="1" thickBot="1" x14ac:dyDescent="0.5">
      <c r="A50" s="14"/>
      <c r="B50" s="14" t="s">
        <v>90</v>
      </c>
      <c r="C50" s="15">
        <f>8800*4/12*0.03*0.7+(1600*0.03)+(1600*0.14)</f>
        <v>333.6</v>
      </c>
      <c r="D50" s="15">
        <f>J50*4/12*0.03*0.7+(1600*0.03*2)+(1600*0.14*2)+(1600*0.05)</f>
        <v>704.08</v>
      </c>
      <c r="E50" s="15">
        <f>K50*4/12*0.03*0.7+(1600*0.03*3)+(1600*0.14*3)+(1600*0.05*2)</f>
        <v>1074.5600000000002</v>
      </c>
      <c r="F50" s="15">
        <f>L50*4/12*0.03*0.7+(1600*0.03*4)+(1600*0.14*4)+(1600*0.05*3)</f>
        <v>1445.04</v>
      </c>
      <c r="G50" s="15">
        <f>M50*4/12*0*0.73+(1600*0.03*5)+(1600*0.14*5)+(1600*0.05*4)</f>
        <v>1680.0000000000002</v>
      </c>
      <c r="H50" s="16">
        <f>N50*4/12*0.03*0.7+(1600*0.03*6)+(1600*0.14*6)+(1600*0.05*5)</f>
        <v>2186</v>
      </c>
      <c r="I50" s="21">
        <f>8800*4/12*0.03+(1600*0.03)+(1600*0.14)</f>
        <v>360</v>
      </c>
      <c r="J50" s="21">
        <v>11440</v>
      </c>
      <c r="K50" s="21">
        <v>14080</v>
      </c>
      <c r="L50" s="21">
        <v>16720</v>
      </c>
      <c r="M50" s="21">
        <v>19360</v>
      </c>
      <c r="N50" s="21">
        <v>22000</v>
      </c>
    </row>
    <row r="51" spans="1:14" ht="36.85" customHeight="1" thickBot="1" x14ac:dyDescent="0.5">
      <c r="A51" s="14"/>
      <c r="B51" s="14" t="s">
        <v>91</v>
      </c>
      <c r="C51" s="15">
        <f>8800*4/12*0.03*0.7+(1600*0.03)+(1600*0.14)</f>
        <v>333.6</v>
      </c>
      <c r="D51" s="15">
        <f>J51*4/12*0.03*0.7+(1600*0.03*2)+(1600*0.14*2)+(1600*0.05)</f>
        <v>704.08</v>
      </c>
      <c r="E51" s="15">
        <f>K51*4/12*0.03*0.7+(1600*0.03*3)+(1600*0.14*3)+(1600*0.05*2)</f>
        <v>1074.5600000000002</v>
      </c>
      <c r="F51" s="15">
        <f>L51*4/12*0.03*0.7+(1600*0.03*4)+(1600*0.14*4)+(1600*0.05*3)</f>
        <v>1445.04</v>
      </c>
      <c r="G51" s="15">
        <f>M51*4/12*0*0.73+(1600*0.03*5)+(1600*0.14*5)+(1600*0.05*4)</f>
        <v>1680.0000000000002</v>
      </c>
      <c r="H51" s="16">
        <f>N51*4/12*0.03*0.7+(1600*0.03*6)+(1600*0.14*6)+(1600*0.05*5)</f>
        <v>2186</v>
      </c>
      <c r="I51" s="21"/>
      <c r="J51" s="21">
        <v>11440</v>
      </c>
      <c r="K51" s="21">
        <v>14080</v>
      </c>
      <c r="L51" s="21">
        <v>16720</v>
      </c>
      <c r="M51" s="21">
        <v>19360</v>
      </c>
      <c r="N51" s="21">
        <v>22000</v>
      </c>
    </row>
    <row r="52" spans="1:14" ht="36.85" customHeight="1" thickBot="1" x14ac:dyDescent="0.5">
      <c r="A52" s="14"/>
      <c r="B52" s="14" t="s">
        <v>92</v>
      </c>
      <c r="C52" s="15">
        <f>12800*4/12*0.03*0.7+(1600*0.03)+(1600*0.14)</f>
        <v>361.6</v>
      </c>
      <c r="D52" s="15">
        <f>J52*4/12*0.03*0.7+(1600*0.03*2)+(1600*0.14*2)+(1600*0.05)</f>
        <v>740.48</v>
      </c>
      <c r="E52" s="15">
        <f>K52*4/12*0.03*0.7+(1600*0.03*3)+(1600*0.14*3)+(1600*0.05*2)</f>
        <v>1119.3600000000001</v>
      </c>
      <c r="F52" s="15">
        <f>L52*4/12*0.03*0.7+(1600*0.03*4)+(1600*0.14*4)+(1600*0.05*3)</f>
        <v>1498.2400000000002</v>
      </c>
      <c r="G52" s="15">
        <f>M52*4/12*0*0.73+(1600*0.03*5)+(1600*0.14*5)+(1600*0.05*4)</f>
        <v>1680.0000000000002</v>
      </c>
      <c r="H52" s="16">
        <f>N52*4/12*0.03*0.7+(1600*0.03*6)+(1600*0.14*6)+(1600*0.05*5)</f>
        <v>2256</v>
      </c>
      <c r="I52" s="21">
        <f>12800*4/12*0.03+(1600*0.03)+(1600*0.14)</f>
        <v>400</v>
      </c>
      <c r="J52" s="21">
        <v>16640</v>
      </c>
      <c r="K52" s="21">
        <v>20480</v>
      </c>
      <c r="L52" s="21">
        <v>24320</v>
      </c>
      <c r="M52" s="21">
        <v>28160</v>
      </c>
      <c r="N52" s="21">
        <v>32000</v>
      </c>
    </row>
    <row r="53" spans="1:14" ht="36.85" customHeight="1" thickBot="1" x14ac:dyDescent="0.5">
      <c r="A53" s="14"/>
      <c r="B53" s="14" t="s">
        <v>93</v>
      </c>
      <c r="C53" s="15">
        <f>14800*4/12*0.03*0.7+(1600*0.03)+(1600*0.14)</f>
        <v>375.6</v>
      </c>
      <c r="D53" s="15">
        <f>J53*4/12*0.03*0.7+(1600*0.03*2)+(1600*0.14*2)+(1600*0.05)</f>
        <v>758.68000000000006</v>
      </c>
      <c r="E53" s="15">
        <f>K53*4/12*0.03*0.7+(1600*0.03*3)+(1600*0.14*3)+(1600*0.05*2)</f>
        <v>1141.7600000000002</v>
      </c>
      <c r="F53" s="15">
        <f>L53*4/12*0.03*0.7+(1600*0.03*4)+(1600*0.14*4)+(1600*0.05*3)</f>
        <v>1524.8400000000001</v>
      </c>
      <c r="G53" s="15">
        <f>M53*4/12*0*0.73+(1600*0.03*5)+(1600*0.14*5)+(1600*0.05*4)</f>
        <v>1680.0000000000002</v>
      </c>
      <c r="H53" s="16">
        <f>N53*4/12*0.03*0.7+(1600*0.03*6)+(1600*0.14*6)+(1600*0.05*5)</f>
        <v>2291</v>
      </c>
      <c r="I53" s="21">
        <f>14800*4/12*0.03+(1600*0.03)+(1600*0.14)</f>
        <v>420</v>
      </c>
      <c r="J53" s="21">
        <v>19240</v>
      </c>
      <c r="K53" s="21">
        <v>23680</v>
      </c>
      <c r="L53" s="21">
        <v>28120</v>
      </c>
      <c r="M53" s="21">
        <v>32560</v>
      </c>
      <c r="N53" s="21">
        <v>37000</v>
      </c>
    </row>
    <row r="54" spans="1:14" ht="36.85" customHeight="1" thickBot="1" x14ac:dyDescent="0.5">
      <c r="A54" s="14"/>
      <c r="B54" s="14" t="s">
        <v>94</v>
      </c>
      <c r="C54" s="15">
        <f>1000*4/12*0.03*0.7</f>
        <v>6.9999999999999982</v>
      </c>
      <c r="D54" s="15">
        <f>J54*4/12*0.03*0.7</f>
        <v>9.0999999999999979</v>
      </c>
      <c r="E54" s="15">
        <f>K54*4/12*0.03</f>
        <v>16</v>
      </c>
      <c r="F54" s="15">
        <f>L54*4/12*0.03</f>
        <v>19</v>
      </c>
      <c r="G54" s="15">
        <f>M54*4/12*0.03</f>
        <v>22</v>
      </c>
      <c r="H54" s="16">
        <f>N54*4/12*0.03</f>
        <v>25</v>
      </c>
      <c r="I54" s="21">
        <f>1000*4/12*0.03+(1600*0.03)+(1600*0.14)</f>
        <v>282</v>
      </c>
      <c r="J54" s="21">
        <v>1300</v>
      </c>
      <c r="K54" s="21">
        <v>1600</v>
      </c>
      <c r="L54" s="21">
        <v>1900</v>
      </c>
      <c r="M54" s="21">
        <v>2200</v>
      </c>
      <c r="N54" s="21">
        <v>2500</v>
      </c>
    </row>
    <row r="55" spans="1:14" ht="23.25" customHeight="1" thickBot="1" x14ac:dyDescent="0.5">
      <c r="A55" s="14"/>
      <c r="B55" s="14" t="s">
        <v>212</v>
      </c>
      <c r="C55" s="14" t="s">
        <v>95</v>
      </c>
      <c r="D55" s="14" t="s">
        <v>95</v>
      </c>
      <c r="E55" s="14" t="s">
        <v>95</v>
      </c>
      <c r="F55" s="14" t="s">
        <v>95</v>
      </c>
      <c r="G55" s="14" t="s">
        <v>95</v>
      </c>
      <c r="H55" s="14" t="s">
        <v>95</v>
      </c>
      <c r="I55" s="21" t="s">
        <v>95</v>
      </c>
      <c r="J55" s="21" t="s">
        <v>95</v>
      </c>
      <c r="K55" s="21" t="s">
        <v>95</v>
      </c>
      <c r="L55" s="21" t="s">
        <v>95</v>
      </c>
      <c r="M55" s="21" t="s">
        <v>95</v>
      </c>
      <c r="N55" s="21" t="s">
        <v>95</v>
      </c>
    </row>
    <row r="56" spans="1:14" ht="55.15" customHeight="1" thickBot="1" x14ac:dyDescent="0.5">
      <c r="A56" s="25"/>
      <c r="B56" s="25" t="s">
        <v>211</v>
      </c>
      <c r="C56" s="25">
        <f>(1600*0.03)+(1600*0.14)</f>
        <v>272</v>
      </c>
      <c r="D56" s="25">
        <f>(1600*0.03*2)+(1600*0.14*2)+(1600*0.05)</f>
        <v>624</v>
      </c>
      <c r="E56" s="25">
        <f>0.03+(1600*0.03*3)+(1600*0.14*3)+(1600*0.05*2)</f>
        <v>976.03000000000009</v>
      </c>
      <c r="F56" s="25">
        <f>(1600*0.03*4)+(1600*0.14*4)+(1600*0.05*3)</f>
        <v>1328</v>
      </c>
      <c r="G56" s="25">
        <f>(1600*0.03*5)+(1600*0.14*5)+(1600*0.05*4)</f>
        <v>1680.0000000000002</v>
      </c>
      <c r="H56" s="25">
        <f>(1600*0.03*6)+(1600*0.14*6)+(1600*0.05*5)</f>
        <v>2032.0000000000002</v>
      </c>
      <c r="I56" s="24"/>
      <c r="J56" s="24"/>
      <c r="K56" s="24"/>
      <c r="L56" s="24"/>
      <c r="M56" s="24"/>
      <c r="N56" s="24"/>
    </row>
    <row r="57" spans="1:14" ht="36.85" customHeight="1" thickBot="1" x14ac:dyDescent="0.5">
      <c r="A57" s="14"/>
      <c r="B57" s="14" t="s">
        <v>96</v>
      </c>
      <c r="C57" s="14">
        <f>100*4/12*0.03*0.7</f>
        <v>0.7</v>
      </c>
      <c r="D57" s="25">
        <f>130*4/12*0.03*0.7</f>
        <v>0.90999999999999992</v>
      </c>
      <c r="E57" s="25">
        <f>160*4/12*0.03*0.7</f>
        <v>1.1199999999999999</v>
      </c>
      <c r="F57" s="25">
        <f>L57*4/12*0.03*0.7</f>
        <v>1.3299999999999998</v>
      </c>
      <c r="G57" s="25">
        <f>M57*4/12*0.03*0.7</f>
        <v>1.5399999999999998</v>
      </c>
      <c r="H57" s="25">
        <f>N57*4/12*0.03*0.7</f>
        <v>1.7499999999999996</v>
      </c>
      <c r="I57" s="21">
        <f>100*4/12*0.03+(1600*0.03)+(1600*0.14)</f>
        <v>273</v>
      </c>
      <c r="J57" s="21">
        <v>130</v>
      </c>
      <c r="K57" s="21">
        <v>160</v>
      </c>
      <c r="L57" s="21">
        <v>190</v>
      </c>
      <c r="M57" s="21">
        <v>220</v>
      </c>
      <c r="N57" s="21">
        <v>250</v>
      </c>
    </row>
    <row r="58" spans="1:14" ht="36.85" customHeight="1" thickBot="1" x14ac:dyDescent="0.5">
      <c r="A58" s="14"/>
      <c r="B58" s="25" t="s">
        <v>212</v>
      </c>
      <c r="C58" s="14" t="s">
        <v>95</v>
      </c>
      <c r="D58" s="14" t="s">
        <v>95</v>
      </c>
      <c r="E58" s="14" t="s">
        <v>95</v>
      </c>
      <c r="F58" s="14" t="s">
        <v>95</v>
      </c>
      <c r="G58" s="14" t="s">
        <v>95</v>
      </c>
      <c r="H58" s="14" t="s">
        <v>95</v>
      </c>
      <c r="I58" s="21" t="s">
        <v>95</v>
      </c>
      <c r="J58" s="21" t="s">
        <v>95</v>
      </c>
      <c r="K58" s="21" t="s">
        <v>95</v>
      </c>
      <c r="L58" s="21" t="s">
        <v>95</v>
      </c>
      <c r="M58" s="21" t="s">
        <v>95</v>
      </c>
      <c r="N58" s="21" t="s">
        <v>95</v>
      </c>
    </row>
    <row r="59" spans="1:14" ht="61.5" customHeight="1" thickBot="1" x14ac:dyDescent="0.5">
      <c r="A59" s="25"/>
      <c r="B59" s="25" t="s">
        <v>209</v>
      </c>
      <c r="C59" s="25">
        <f>(1600*0.03)+(1600*0.14)</f>
        <v>272</v>
      </c>
      <c r="D59" s="25">
        <f>(1600*0.03*2)+(1600*0.14*2)+(1600*0.05)</f>
        <v>624</v>
      </c>
      <c r="E59" s="25">
        <f>0.03+(1600*0.03*3)+(1600*0.14*3)+(1600*0.05*2)</f>
        <v>976.03000000000009</v>
      </c>
      <c r="F59" s="25">
        <f>(1600*0.03*4)+(1600*0.14*4)+(1600*0.05*3)</f>
        <v>1328</v>
      </c>
      <c r="G59" s="25">
        <f>(1600*0.03*5)+(1600*0.14*5)+(1600*0.05*4)</f>
        <v>1680.0000000000002</v>
      </c>
      <c r="H59" s="25">
        <f>(1600*0.03*6)+(1600*0.14*6)+(1600*0.05*5)</f>
        <v>2032.0000000000002</v>
      </c>
      <c r="I59" s="24"/>
      <c r="J59" s="24"/>
      <c r="K59" s="24"/>
      <c r="L59" s="24"/>
      <c r="M59" s="24"/>
      <c r="N59" s="24"/>
    </row>
    <row r="60" spans="1:14" ht="36.85" customHeight="1" thickBot="1" x14ac:dyDescent="0.5">
      <c r="A60" s="14"/>
      <c r="B60" s="14" t="s">
        <v>97</v>
      </c>
      <c r="C60" s="14"/>
      <c r="D60" s="15"/>
      <c r="E60" s="15"/>
      <c r="F60" s="15"/>
      <c r="G60" s="15"/>
      <c r="H60" s="16"/>
      <c r="I60" s="21"/>
      <c r="J60" s="21"/>
      <c r="K60" s="21"/>
      <c r="L60" s="21"/>
      <c r="M60" s="21"/>
      <c r="N60" s="21"/>
    </row>
    <row r="61" spans="1:14" ht="36.85" customHeight="1" thickBot="1" x14ac:dyDescent="0.5">
      <c r="A61" s="14"/>
      <c r="B61" s="14" t="s">
        <v>98</v>
      </c>
      <c r="C61" s="15">
        <f>1000*4/12*0.03*0.7</f>
        <v>6.9999999999999982</v>
      </c>
      <c r="D61" s="15">
        <f>J61*4/12*0.03*0.7</f>
        <v>9.0999999999999979</v>
      </c>
      <c r="E61" s="15">
        <f>K61*4/12*0.03*0.7</f>
        <v>11.2</v>
      </c>
      <c r="F61" s="15">
        <f>L61*4/12*0.03*0.7</f>
        <v>13.299999999999999</v>
      </c>
      <c r="G61" s="15">
        <f>M61*4/12*0.03*0.7</f>
        <v>15.399999999999999</v>
      </c>
      <c r="H61" s="16">
        <f>N61*4/12*0.03*0.7</f>
        <v>17.5</v>
      </c>
      <c r="I61" s="21">
        <f>1000*4/12*0.03+(1600*0.03)+(1600*0.14)</f>
        <v>282</v>
      </c>
      <c r="J61" s="21">
        <v>1300</v>
      </c>
      <c r="K61" s="21">
        <v>1600</v>
      </c>
      <c r="L61" s="21">
        <v>1900</v>
      </c>
      <c r="M61" s="21">
        <v>2200</v>
      </c>
      <c r="N61" s="21">
        <v>2500</v>
      </c>
    </row>
    <row r="62" spans="1:14" ht="36.85" customHeight="1" thickBot="1" x14ac:dyDescent="0.5">
      <c r="A62" s="14"/>
      <c r="B62" s="25" t="s">
        <v>212</v>
      </c>
      <c r="C62" s="14" t="s">
        <v>99</v>
      </c>
      <c r="D62" s="14" t="s">
        <v>99</v>
      </c>
      <c r="E62" s="14" t="s">
        <v>99</v>
      </c>
      <c r="F62" s="14" t="s">
        <v>99</v>
      </c>
      <c r="G62" s="14" t="s">
        <v>99</v>
      </c>
      <c r="H62" s="14" t="s">
        <v>99</v>
      </c>
      <c r="I62" s="21" t="s">
        <v>99</v>
      </c>
      <c r="J62" s="21" t="s">
        <v>99</v>
      </c>
      <c r="K62" s="21" t="s">
        <v>99</v>
      </c>
      <c r="L62" s="21" t="s">
        <v>99</v>
      </c>
      <c r="M62" s="21" t="s">
        <v>99</v>
      </c>
      <c r="N62" s="21" t="s">
        <v>99</v>
      </c>
    </row>
    <row r="63" spans="1:14" ht="36.85" customHeight="1" thickBot="1" x14ac:dyDescent="0.5">
      <c r="A63" s="14"/>
      <c r="B63" s="14" t="s">
        <v>100</v>
      </c>
      <c r="C63" s="15">
        <f>1000*4/12*0.03*0.7</f>
        <v>6.9999999999999982</v>
      </c>
      <c r="D63" s="15">
        <f>J63*4/12*0.03*0.7</f>
        <v>9.0999999999999979</v>
      </c>
      <c r="E63" s="15">
        <f>K63*4/12*0.03*0.7</f>
        <v>11.2</v>
      </c>
      <c r="F63" s="15">
        <f>L63*4/12*0.03*0.7</f>
        <v>13.299999999999999</v>
      </c>
      <c r="G63" s="15">
        <f>M63*4/12*0.03*0.7</f>
        <v>15.399999999999999</v>
      </c>
      <c r="H63" s="16">
        <f>N63*4/12*0.03*0.7</f>
        <v>17.5</v>
      </c>
      <c r="I63" s="21">
        <f>1000*4/12*0.03+(1600*0.03)+(1600*0.14)</f>
        <v>282</v>
      </c>
      <c r="J63" s="21">
        <v>1300</v>
      </c>
      <c r="K63" s="21">
        <v>1600</v>
      </c>
      <c r="L63" s="21">
        <v>1900</v>
      </c>
      <c r="M63" s="21">
        <v>2200</v>
      </c>
      <c r="N63" s="21">
        <v>2500</v>
      </c>
    </row>
    <row r="64" spans="1:14" ht="36.85" customHeight="1" thickBot="1" x14ac:dyDescent="0.5">
      <c r="A64" s="14"/>
      <c r="B64" s="25" t="s">
        <v>212</v>
      </c>
      <c r="C64" s="14" t="s">
        <v>99</v>
      </c>
      <c r="D64" s="14" t="s">
        <v>99</v>
      </c>
      <c r="E64" s="14" t="s">
        <v>99</v>
      </c>
      <c r="F64" s="14" t="s">
        <v>99</v>
      </c>
      <c r="G64" s="14" t="s">
        <v>99</v>
      </c>
      <c r="H64" s="14" t="s">
        <v>99</v>
      </c>
      <c r="I64" s="21" t="s">
        <v>99</v>
      </c>
      <c r="J64" s="21" t="s">
        <v>99</v>
      </c>
      <c r="K64" s="21" t="s">
        <v>99</v>
      </c>
      <c r="L64" s="21" t="s">
        <v>99</v>
      </c>
      <c r="M64" s="21" t="s">
        <v>99</v>
      </c>
      <c r="N64" s="21" t="s">
        <v>99</v>
      </c>
    </row>
    <row r="65" spans="1:14" ht="85.15" customHeight="1" thickBot="1" x14ac:dyDescent="0.5">
      <c r="A65" s="25"/>
      <c r="B65" s="25" t="s">
        <v>210</v>
      </c>
      <c r="C65" s="25">
        <f>(1600*0.03)+(1600*0.14)</f>
        <v>272</v>
      </c>
      <c r="D65" s="25">
        <f>0.03+(1600*0.03*2)+(1600*0.14*2)+(1600*0.05)</f>
        <v>624.03000000000009</v>
      </c>
      <c r="E65" s="25">
        <f>0.03+(1600*0.03*3)+(1600*0.14*3)+(1600*0.05*2)</f>
        <v>976.03000000000009</v>
      </c>
      <c r="F65" s="25">
        <f>(1600*0.03*4)+(1600*0.14*4)+(1600*0.05*3)</f>
        <v>1328</v>
      </c>
      <c r="G65" s="25">
        <f>(1600*0.03*5)+(1600*0.14*5)+(1600*0.05*4)</f>
        <v>1680.0000000000002</v>
      </c>
      <c r="H65" s="25">
        <f>(1600*0.03*6)+(1600*0.14*6)+(1600*0.05*5)</f>
        <v>2032.0000000000002</v>
      </c>
      <c r="I65" s="24"/>
      <c r="J65" s="24"/>
      <c r="K65" s="24"/>
      <c r="L65" s="24"/>
      <c r="M65" s="24"/>
      <c r="N65" s="24"/>
    </row>
    <row r="66" spans="1:14" ht="93" customHeight="1" thickBot="1" x14ac:dyDescent="0.5">
      <c r="A66" s="14" t="s">
        <v>101</v>
      </c>
      <c r="B66" s="14" t="s">
        <v>102</v>
      </c>
      <c r="C66" s="15">
        <f>8800*4/12*0.03*0.7+(1600*0.03)+(1600*0.14)</f>
        <v>333.6</v>
      </c>
      <c r="D66" s="15">
        <f>J66*4/12*0.03*0.7+(1600*0.03*2)+(1600*0.14*2)+(1600*0.05)</f>
        <v>704.08</v>
      </c>
      <c r="E66" s="15">
        <f>K66*4/12*0.03*0.7+(1600*0.03*3)+(1600*0.14*3)+(1600*0.05*2)</f>
        <v>1074.5600000000002</v>
      </c>
      <c r="F66" s="15">
        <f>L66*4/12*0.03*0.7+(1600*0.03*4)+(1600*0.14*4)+(1600*0.05*3)</f>
        <v>1445.04</v>
      </c>
      <c r="G66" s="15">
        <f>M66*4/12*0.03*0.7+(1600*0.03*5)+(1600*0.14*5)+(1600*0.05*4)</f>
        <v>1815.5200000000002</v>
      </c>
      <c r="H66" s="16">
        <f>N66*4/12*0.03*0.7+(1600*0.03*6)+(1600*0.14*6)+(1600*0.05*5)</f>
        <v>2186</v>
      </c>
      <c r="I66" s="21">
        <f>8800*4/12*0.03+(1600*0.03)+(1600*0.14)</f>
        <v>360</v>
      </c>
      <c r="J66" s="21">
        <v>11440</v>
      </c>
      <c r="K66" s="21">
        <v>14080</v>
      </c>
      <c r="L66" s="21">
        <v>16720</v>
      </c>
      <c r="M66" s="21">
        <v>19360</v>
      </c>
      <c r="N66" s="21">
        <v>22000</v>
      </c>
    </row>
    <row r="67" spans="1:14" ht="36.85" customHeight="1" thickBot="1" x14ac:dyDescent="0.5">
      <c r="A67" s="14" t="s">
        <v>103</v>
      </c>
      <c r="B67" s="14" t="s">
        <v>104</v>
      </c>
      <c r="C67" s="15">
        <f>8800*4/12*0.03*0.7+(1600*0.03)+(1600*0.14)</f>
        <v>333.6</v>
      </c>
      <c r="D67" s="15">
        <f>J67*4/12*0.03*0.7+(1600*0.03*2)+(1600*0.14*2)+(1600*0.05)</f>
        <v>704.08</v>
      </c>
      <c r="E67" s="15">
        <f>K67*4/12*0.03*0.7+(1600*0.03*3)+(1600*0.14*3)+(1600*0.05*2)</f>
        <v>1074.5600000000002</v>
      </c>
      <c r="F67" s="15">
        <f>L67*4/12*0.03*0.7+(1600*0.03*4)+(1600*0.14*4)+(1600*0.05*3)</f>
        <v>1445.04</v>
      </c>
      <c r="G67" s="15">
        <f>M67*4/12*0.03*0.7+(1600*0.03*5)+(1600*0.14*5)+(1600*0.05*4)</f>
        <v>1815.5200000000002</v>
      </c>
      <c r="H67" s="16">
        <f>N67*4/12*0.03*0.7+(1600*0.03*6)+(1600*0.14*6)+(1600*0.05*5)</f>
        <v>2186</v>
      </c>
      <c r="I67" s="21">
        <f>8800*4/12*0.03+(1600*0.03)+(1600*0.14)</f>
        <v>360</v>
      </c>
      <c r="J67" s="21">
        <v>11440</v>
      </c>
      <c r="K67" s="21">
        <v>14080</v>
      </c>
      <c r="L67" s="21">
        <v>16720</v>
      </c>
      <c r="M67" s="21">
        <v>19360</v>
      </c>
      <c r="N67" s="21">
        <v>22000</v>
      </c>
    </row>
    <row r="68" spans="1:14" ht="102" customHeight="1" thickBot="1" x14ac:dyDescent="0.5">
      <c r="A68" s="14" t="s">
        <v>105</v>
      </c>
      <c r="B68" s="14" t="s">
        <v>106</v>
      </c>
      <c r="C68" s="15">
        <f>2000*4/12*0.03*0.7+(1600*0.03)+(1600*0.14)</f>
        <v>286</v>
      </c>
      <c r="D68" s="15">
        <f>J68*4/12*0.03*0.7+(1600*0.03*2)+(1600*0.14*2)+(1600*0.05)</f>
        <v>642.20000000000005</v>
      </c>
      <c r="E68" s="15">
        <f>K68*4/12*0.03*0.7+(1600*0.03*3)+(1600*0.14*3)+(1600*0.05*2)</f>
        <v>998.40000000000009</v>
      </c>
      <c r="F68" s="15">
        <f>L68*4/12*0.03*0.7+(1600*0.03*4)+(1600*0.14*4)+(1600*0.05*3)</f>
        <v>1354.6000000000001</v>
      </c>
      <c r="G68" s="15">
        <f>M68*4/12*0.03*0.7+(1600*0.03*5)+(1600*0.14*5)+(1600*0.05*4)</f>
        <v>1710.8000000000002</v>
      </c>
      <c r="H68" s="16">
        <f>N68*4/12*0.03*0.7+(1600*0.03*6)+(1600*0.14*6)+(1600*0.05*5)</f>
        <v>2067</v>
      </c>
      <c r="I68" s="21">
        <f>2000*4/12*0.03+(1600*0.03)+(1600*0.14)</f>
        <v>292</v>
      </c>
      <c r="J68" s="21">
        <v>2600</v>
      </c>
      <c r="K68" s="21">
        <v>3200</v>
      </c>
      <c r="L68" s="21">
        <v>3800</v>
      </c>
      <c r="M68" s="21">
        <v>4400</v>
      </c>
      <c r="N68" s="21">
        <v>5000</v>
      </c>
    </row>
    <row r="69" spans="1:14" ht="75" customHeight="1" thickBot="1" x14ac:dyDescent="0.5">
      <c r="A69" s="14" t="s">
        <v>107</v>
      </c>
      <c r="B69" s="14" t="s">
        <v>108</v>
      </c>
      <c r="C69" s="22"/>
      <c r="D69" s="22"/>
      <c r="E69" s="22"/>
      <c r="F69" s="22"/>
      <c r="G69" s="22"/>
      <c r="H69" s="22"/>
      <c r="I69" s="21">
        <f>2800*4/12*0.03+(1600*0.03)+(1600*0.14)</f>
        <v>300</v>
      </c>
      <c r="J69" s="21">
        <v>3640</v>
      </c>
      <c r="K69" s="21">
        <v>4480</v>
      </c>
      <c r="L69" s="21">
        <v>5320</v>
      </c>
      <c r="M69" s="21">
        <v>6160</v>
      </c>
      <c r="N69" s="21">
        <v>7000</v>
      </c>
    </row>
    <row r="70" spans="1:14" ht="36.85" customHeight="1" thickBot="1" x14ac:dyDescent="0.5">
      <c r="A70" s="14"/>
      <c r="B70" s="14" t="s">
        <v>109</v>
      </c>
      <c r="C70" s="15">
        <f>2800*4/12*0.03*0.7+(1600*0.03)+(1600*0.14)</f>
        <v>291.60000000000002</v>
      </c>
      <c r="D70" s="15">
        <f>J70*4/12*0.03*0.7+(1600*0.03*2)+(1600*0.14*2)+(1600*0.05)</f>
        <v>624</v>
      </c>
      <c r="E70" s="15">
        <f>K70*4/12*0.03*0.7+(1600*0.03*3)+(1600*0.14*3)+(1600*0.05*2)</f>
        <v>976.00000000000011</v>
      </c>
      <c r="F70" s="15">
        <f>L70*4/12*0.03*0.7+(1600*0.03*4)+(1600*0.14*4)+(1600*0.05*3)</f>
        <v>1328</v>
      </c>
      <c r="G70" s="15">
        <f>M70*4/12*0.03*0.7+(1600*0.03*5)+(1600*0.14*5)+(1600*0.05*4)</f>
        <v>1680.0000000000002</v>
      </c>
      <c r="H70" s="16">
        <f>N70*4/12*0.03*0.7+(1600*0.03*6)+(1600*0.14*6)+(1600*0.05*5)</f>
        <v>2032.0000000000002</v>
      </c>
      <c r="I70" s="21"/>
      <c r="J70" s="21"/>
      <c r="K70" s="21"/>
      <c r="L70" s="21"/>
      <c r="M70" s="21"/>
      <c r="N70" s="21"/>
    </row>
    <row r="71" spans="1:14" ht="36.85" customHeight="1" thickBot="1" x14ac:dyDescent="0.5">
      <c r="A71" s="14"/>
      <c r="B71" s="14" t="s">
        <v>110</v>
      </c>
      <c r="C71" s="15">
        <f>4800*4/12*0.03*0.7+(1600*0.03)+(1600*0.14)</f>
        <v>305.60000000000002</v>
      </c>
      <c r="D71" s="15">
        <f>J71*4/12*0.03*0.7+(1600*0.03*2)+(1600*0.14*2)+(1600*0.05)</f>
        <v>667.68000000000006</v>
      </c>
      <c r="E71" s="15">
        <f>K71*4/12*0.03*0.7+(1600*0.03*3)+(1600*0.14*3)+(1600*0.05*2)</f>
        <v>1029.7600000000002</v>
      </c>
      <c r="F71" s="15">
        <f>L71*4/12*0.03*0.7+(1600*0.03*4)+(1600*0.14*4)+(1600*0.05*3)</f>
        <v>1391.8400000000001</v>
      </c>
      <c r="G71" s="15">
        <f>M71*4/12*0.03*0.7+(1600*0.03*5)+(1600*0.14*5)+(1600*0.05*4)</f>
        <v>1753.92</v>
      </c>
      <c r="H71" s="16">
        <f>N71*4/12*0.03*0.7+(1600*0.03*6)+(1600*0.14*6)+(1600*0.05*5)</f>
        <v>2116</v>
      </c>
      <c r="I71" s="21">
        <f>4800*4/12*0.03+(1600*0.03)+(1600*0.14)</f>
        <v>320</v>
      </c>
      <c r="J71" s="21">
        <v>6240</v>
      </c>
      <c r="K71" s="21">
        <v>7680</v>
      </c>
      <c r="L71" s="21">
        <v>9120</v>
      </c>
      <c r="M71" s="21">
        <v>10560</v>
      </c>
      <c r="N71" s="21">
        <v>12000</v>
      </c>
    </row>
    <row r="72" spans="1:14" ht="36.85" customHeight="1" thickBot="1" x14ac:dyDescent="0.5">
      <c r="A72" s="14" t="s">
        <v>111</v>
      </c>
      <c r="B72" s="14" t="s">
        <v>112</v>
      </c>
      <c r="C72" s="14"/>
      <c r="D72" s="15"/>
      <c r="E72" s="15"/>
      <c r="F72" s="15"/>
      <c r="G72" s="15"/>
      <c r="H72" s="16"/>
      <c r="I72" s="21"/>
      <c r="J72" s="21"/>
      <c r="K72" s="21"/>
      <c r="L72" s="21"/>
      <c r="M72" s="21"/>
      <c r="N72" s="21"/>
    </row>
    <row r="73" spans="1:14" ht="64.5" customHeight="1" thickBot="1" x14ac:dyDescent="0.5">
      <c r="A73" s="14"/>
      <c r="B73" s="14" t="s">
        <v>113</v>
      </c>
      <c r="C73" s="14">
        <f>600*4/12*0.03*0.7</f>
        <v>4.1999999999999993</v>
      </c>
      <c r="D73" s="15">
        <f>J73*4/12*0.03*0.7</f>
        <v>5.46</v>
      </c>
      <c r="E73" s="15">
        <f>K73*4/12*0.03*0.7</f>
        <v>6.72</v>
      </c>
      <c r="F73" s="15">
        <f>L73*4/12*0.03*0.7</f>
        <v>7.9799999999999995</v>
      </c>
      <c r="G73" s="15">
        <f>M73*4/12*0.03*0.7</f>
        <v>9.2399999999999984</v>
      </c>
      <c r="H73" s="16">
        <f>N73*4/12*0.03*0.7</f>
        <v>10.5</v>
      </c>
      <c r="I73" s="21">
        <f>600*4/12*0.03+(1600*0.03)+(1600*0.14)</f>
        <v>278</v>
      </c>
      <c r="J73" s="21">
        <v>780</v>
      </c>
      <c r="K73" s="21">
        <v>960</v>
      </c>
      <c r="L73" s="21">
        <v>1140</v>
      </c>
      <c r="M73" s="21">
        <v>1320</v>
      </c>
      <c r="N73" s="21">
        <v>1500</v>
      </c>
    </row>
    <row r="74" spans="1:14" ht="36.85" customHeight="1" thickBot="1" x14ac:dyDescent="0.5">
      <c r="A74" s="14"/>
      <c r="B74" s="25" t="s">
        <v>212</v>
      </c>
      <c r="C74" s="14" t="s">
        <v>99</v>
      </c>
      <c r="D74" s="14" t="s">
        <v>99</v>
      </c>
      <c r="E74" s="14" t="s">
        <v>99</v>
      </c>
      <c r="F74" s="14" t="s">
        <v>99</v>
      </c>
      <c r="G74" s="14" t="s">
        <v>99</v>
      </c>
      <c r="H74" s="14" t="s">
        <v>99</v>
      </c>
      <c r="I74" s="21" t="s">
        <v>99</v>
      </c>
      <c r="J74" s="21" t="s">
        <v>99</v>
      </c>
      <c r="K74" s="21" t="s">
        <v>99</v>
      </c>
      <c r="L74" s="21" t="s">
        <v>99</v>
      </c>
      <c r="M74" s="21" t="s">
        <v>99</v>
      </c>
      <c r="N74" s="21" t="s">
        <v>99</v>
      </c>
    </row>
    <row r="75" spans="1:14" ht="64.150000000000006" customHeight="1" thickBot="1" x14ac:dyDescent="0.5">
      <c r="A75" s="25"/>
      <c r="B75" s="25" t="s">
        <v>213</v>
      </c>
      <c r="C75" s="25"/>
      <c r="D75" s="25"/>
      <c r="E75" s="26"/>
      <c r="F75" s="25"/>
      <c r="G75" s="25"/>
      <c r="H75" s="25"/>
      <c r="I75" s="24"/>
      <c r="J75" s="24"/>
      <c r="K75" s="24"/>
      <c r="L75" s="24"/>
      <c r="M75" s="24"/>
      <c r="N75" s="24"/>
    </row>
    <row r="76" spans="1:14" ht="88.5" customHeight="1" thickBot="1" x14ac:dyDescent="0.5">
      <c r="A76" s="14"/>
      <c r="B76" s="14" t="s">
        <v>114</v>
      </c>
      <c r="C76" s="15">
        <f>6300*4/12*0.03*0.7</f>
        <v>44.099999999999994</v>
      </c>
      <c r="D76" s="15">
        <f>J76*4/12*0.03*0.7</f>
        <v>57.329999999999991</v>
      </c>
      <c r="E76" s="15">
        <f>K76*4/12*0.03*0.7</f>
        <v>70.559999999999988</v>
      </c>
      <c r="F76" s="15">
        <f>L76*4/12*0.03*0.7</f>
        <v>83.789999999999992</v>
      </c>
      <c r="G76" s="15">
        <f>M76*4/12*0.03*0.7</f>
        <v>97.02</v>
      </c>
      <c r="H76" s="16">
        <f>N76*4/12*0.03*0.7</f>
        <v>110.25</v>
      </c>
      <c r="I76" s="21">
        <f>6300*4/12*0.03+(1600*0.03)+(1600*0.14)</f>
        <v>335</v>
      </c>
      <c r="J76" s="21">
        <v>8190</v>
      </c>
      <c r="K76" s="21">
        <v>10080</v>
      </c>
      <c r="L76" s="21">
        <v>11970</v>
      </c>
      <c r="M76" s="21">
        <v>13860</v>
      </c>
      <c r="N76" s="21">
        <v>15750</v>
      </c>
    </row>
    <row r="77" spans="1:14" ht="36.85" customHeight="1" thickBot="1" x14ac:dyDescent="0.5">
      <c r="A77" s="14" t="s">
        <v>115</v>
      </c>
      <c r="B77" s="14" t="s">
        <v>116</v>
      </c>
      <c r="C77" s="15">
        <f>8800*4/12*0.03*0.7+(1600*0.03)+(1600*0.14)</f>
        <v>333.6</v>
      </c>
      <c r="D77" s="15">
        <f>J77*4/12*0.03*0.7+(1600*0.03*2)+(1600*0.14*2)+(1600*0.05)</f>
        <v>704.08</v>
      </c>
      <c r="E77" s="15">
        <f>K77*4/12*0.03*0.7+(1600*0.03*3)+(1600*0.14*3)+(1600*0.05*2)</f>
        <v>1074.5600000000002</v>
      </c>
      <c r="F77" s="15">
        <f>L77*4/12*0.03*0.7+(1600*0.03*4)+(1600*0.14*4)+(1600*0.05*3)</f>
        <v>1445.04</v>
      </c>
      <c r="G77" s="15">
        <f>M77*4/12*0.03*0.7+(1600*0.03*5)+(1600*0.14*5)+(1600*0.05*4)</f>
        <v>1815.5200000000002</v>
      </c>
      <c r="H77" s="16">
        <f>N77*4/12*0.03*0.7+(1600*0.03*6)+(1600*0.14*6)+(1600*0.05*5)</f>
        <v>2186</v>
      </c>
      <c r="I77" s="21">
        <f>8800*4/12*0.03+(1600*0.03)+(1600*0.14)</f>
        <v>360</v>
      </c>
      <c r="J77" s="21">
        <v>11440</v>
      </c>
      <c r="K77" s="21">
        <v>14080</v>
      </c>
      <c r="L77" s="21">
        <v>16720</v>
      </c>
      <c r="M77" s="21">
        <v>19360</v>
      </c>
      <c r="N77" s="21">
        <v>22000</v>
      </c>
    </row>
    <row r="78" spans="1:14" ht="80.25" customHeight="1" thickBot="1" x14ac:dyDescent="0.5">
      <c r="A78" s="14" t="s">
        <v>117</v>
      </c>
      <c r="B78" s="14" t="s">
        <v>118</v>
      </c>
      <c r="C78" s="15">
        <f>4400*4/12*0.03*0.7+(1600*0.03)+(1600*0.14)</f>
        <v>302.8</v>
      </c>
      <c r="D78" s="15">
        <f>J78*4/12*0.03*0.7+(1600*0.03*2)+(1600*0.14*2)+(1600*0.05)</f>
        <v>664.04000000000008</v>
      </c>
      <c r="E78" s="15">
        <f>K78*4/12*0.03*0.7+(1600*0.03*3)+(1600*0.14*3)+(1600*0.05*2)</f>
        <v>1025.2800000000002</v>
      </c>
      <c r="F78" s="15">
        <f>L78*4/12*0.03*0.7+(1600*0.03*4)+(1600*0.14*4)+(1600*0.05*3)</f>
        <v>1386.52</v>
      </c>
      <c r="G78" s="15">
        <f>M78*4/12*0.03*0.7+(1600*0.03*5)+(1600*0.14*5)+(1600*0.05*4)</f>
        <v>1747.7600000000002</v>
      </c>
      <c r="H78" s="16">
        <f>N78*4/12*0.03*0.7+(1600*0.03*6)+(1600*0.14*6)+(1600*0.05*5)</f>
        <v>2109</v>
      </c>
      <c r="I78" s="21">
        <f>4400*4/12*0.03+(1600*0.03)+(1600*0.14)</f>
        <v>316</v>
      </c>
      <c r="J78" s="21">
        <v>5720</v>
      </c>
      <c r="K78" s="21">
        <v>7040</v>
      </c>
      <c r="L78" s="21">
        <v>8360</v>
      </c>
      <c r="M78" s="21">
        <v>9680</v>
      </c>
      <c r="N78" s="21">
        <v>11000</v>
      </c>
    </row>
    <row r="79" spans="1:14" ht="36.85" customHeight="1" thickBot="1" x14ac:dyDescent="0.5">
      <c r="A79" s="14" t="s">
        <v>119</v>
      </c>
      <c r="B79" s="14" t="s">
        <v>120</v>
      </c>
      <c r="C79" s="15">
        <f>8800*4/12*0.03*0.7+(1600*0.03)+(1600*0.14)</f>
        <v>333.6</v>
      </c>
      <c r="D79" s="15">
        <f>J79*4/12*0.03*0.7+(1600*0.03*2)+(1600*0.14*2)+(1600*0.05)</f>
        <v>704.08</v>
      </c>
      <c r="E79" s="15">
        <f>K79*4/12*0.03*0.7+(1600*0.03*3)+(1600*0.14*3)+(1600*0.05*2)</f>
        <v>1074.5600000000002</v>
      </c>
      <c r="F79" s="15">
        <f>L79*4/12*0.03*0.7+(1600*0.03*4)+(1600*0.14*4)+(1600*0.05*3)</f>
        <v>1445.04</v>
      </c>
      <c r="G79" s="15">
        <f>M79*4/12*0.03*0.7+(1600*0.03*5)+(1600*0.14*5)+(1600*0.05*4)</f>
        <v>1815.5200000000002</v>
      </c>
      <c r="H79" s="16">
        <f>N79*4/12*0.03*0.7+(1600*0.03*6)+(1600*0.14*6)+(1600*0.05*5)</f>
        <v>2186</v>
      </c>
      <c r="I79" s="21">
        <f>8800*4/12*0.03+(1600*0.03)+(1600*0.14)</f>
        <v>360</v>
      </c>
      <c r="J79" s="21">
        <v>11440</v>
      </c>
      <c r="K79" s="21">
        <v>14080</v>
      </c>
      <c r="L79" s="21">
        <v>16720</v>
      </c>
      <c r="M79" s="21">
        <v>19360</v>
      </c>
      <c r="N79" s="21">
        <v>22000</v>
      </c>
    </row>
    <row r="80" spans="1:14" ht="36.85" customHeight="1" thickBot="1" x14ac:dyDescent="0.5">
      <c r="A80" s="14" t="s">
        <v>121</v>
      </c>
      <c r="B80" s="14" t="s">
        <v>122</v>
      </c>
      <c r="C80" s="15">
        <f>12800*4/12*0.03*0.7+(1600*0.03)+(1600*0.14)</f>
        <v>361.6</v>
      </c>
      <c r="D80" s="15">
        <f>J80*4/12*0.03*0.7+(1600*0.03*2)+(1600*0.14*2)+(1600*0.05)</f>
        <v>740.48</v>
      </c>
      <c r="E80" s="15">
        <f>K80*4/12*0.03*0.7+(1600*0.03*3)+(1600*0.14*3)+(1600*0.05*2)</f>
        <v>1119.3600000000001</v>
      </c>
      <c r="F80" s="15">
        <f>L80*4/12*0.03*0.7+(1600*0.03*4)+(1600*0.14*4)+(1600*0.05*3)</f>
        <v>1498.2400000000002</v>
      </c>
      <c r="G80" s="15">
        <f>M80*4/12*0.03*0.7+(1600*0.03*5)+(1600*0.14*5)+(1600*0.05*4)</f>
        <v>1877.1200000000003</v>
      </c>
      <c r="H80" s="16">
        <f>N80*4/12*0.03*0.7+(1600*0.03*6)+(1600*0.14*6)+(1600*0.05*5)</f>
        <v>2256</v>
      </c>
      <c r="I80" s="21">
        <f>12800*4/12*0.03+(1600*0.03)+(1600*0.14)</f>
        <v>400</v>
      </c>
      <c r="J80" s="21">
        <v>16640</v>
      </c>
      <c r="K80" s="21">
        <v>20480</v>
      </c>
      <c r="L80" s="21">
        <v>24320</v>
      </c>
      <c r="M80" s="21">
        <v>28160</v>
      </c>
      <c r="N80" s="21">
        <v>32000</v>
      </c>
    </row>
    <row r="81" spans="1:14" ht="93.75" customHeight="1" thickBot="1" x14ac:dyDescent="0.5">
      <c r="A81" s="14" t="s">
        <v>123</v>
      </c>
      <c r="B81" s="14" t="s">
        <v>124</v>
      </c>
      <c r="C81" s="15">
        <f>4400*4/12*0.03*0.7+(1600*0.03)+(1600*0.14)</f>
        <v>302.8</v>
      </c>
      <c r="D81" s="15">
        <f>J81*4/12*0.03*0.7+(1600*0.03*2)+(1600*0.14*2)+(1600*0.05)</f>
        <v>664.04000000000008</v>
      </c>
      <c r="E81" s="15">
        <f>K81*4/12*0.03*0.7+(1600*0.03*3)+(1600*0.14*3)+(1600*0.05*2)</f>
        <v>1025.2800000000002</v>
      </c>
      <c r="F81" s="15">
        <f>L81*4/12*0.03*0.7+(1600*0.03*4)+(1600*0.14*4)+(1600*0.05*3)</f>
        <v>1386.52</v>
      </c>
      <c r="G81" s="15">
        <f>M81*4/12*0.03*0.7+(1600*0.03*5)+(1600*0.14*5)+(1600*0.05*4)</f>
        <v>1747.7600000000002</v>
      </c>
      <c r="H81" s="16">
        <f>N81*4/12*0.03*0.7+(1600*0.03*6)+(1600*0.14*6)+(1600*0.05*5)</f>
        <v>2109</v>
      </c>
      <c r="I81" s="21">
        <f>4400*4/12*0.03+(1600*0.03)+(1600*0.14)</f>
        <v>316</v>
      </c>
      <c r="J81" s="21">
        <v>5720</v>
      </c>
      <c r="K81" s="21">
        <v>7040</v>
      </c>
      <c r="L81" s="21">
        <v>8360</v>
      </c>
      <c r="M81" s="21">
        <v>9680</v>
      </c>
      <c r="N81" s="21">
        <v>11000</v>
      </c>
    </row>
    <row r="82" spans="1:14" ht="121.5" customHeight="1" thickBot="1" x14ac:dyDescent="0.5">
      <c r="A82" s="14" t="s">
        <v>125</v>
      </c>
      <c r="B82" s="14" t="s">
        <v>126</v>
      </c>
      <c r="C82" s="15">
        <f>8800*4/12*0.03*0.7+(1600*0.03)+(1600*0.14)</f>
        <v>333.6</v>
      </c>
      <c r="D82" s="15">
        <f>J82*4/12*0.03*0.7+(1600*0.03*2)+(1600*0.14*2)+(1600*0.05)</f>
        <v>704.08</v>
      </c>
      <c r="E82" s="15">
        <f>K82*4/12*0.03*0.7+(1600*0.03*3)+(1600*0.14*3)+(1600*0.05*2)</f>
        <v>1074.5600000000002</v>
      </c>
      <c r="F82" s="15">
        <f>L82*4/12*0.03*0.7+(1600*0.03*4)+(1600*0.14*4)+(1600*0.05*3)</f>
        <v>1445.04</v>
      </c>
      <c r="G82" s="15">
        <f>M82*4/12*0.03*0.7+(1600*0.03*5)+(1600*0.14*5)+(1600*0.05*4)</f>
        <v>1815.5200000000002</v>
      </c>
      <c r="H82" s="16">
        <f>N82*4/12*0.03*0.7+(1600*0.03*6)+(1600*0.14*6)+(1600*0.05*5)</f>
        <v>2186</v>
      </c>
      <c r="I82" s="21">
        <f>8800*4/12*0.03+(1600*0.03)+(1600*0.14)</f>
        <v>360</v>
      </c>
      <c r="J82" s="21">
        <v>11440</v>
      </c>
      <c r="K82" s="21">
        <v>14080</v>
      </c>
      <c r="L82" s="21">
        <v>16720</v>
      </c>
      <c r="M82" s="21">
        <v>19360</v>
      </c>
      <c r="N82" s="21">
        <v>22000</v>
      </c>
    </row>
    <row r="83" spans="1:14" ht="86.25" customHeight="1" thickBot="1" x14ac:dyDescent="0.5">
      <c r="A83" s="14" t="s">
        <v>127</v>
      </c>
      <c r="B83" s="14" t="s">
        <v>128</v>
      </c>
      <c r="C83" s="15">
        <f>4400*4/12*0.03*0.7+(1600*0.03)+(1600*0.14)</f>
        <v>302.8</v>
      </c>
      <c r="D83" s="15">
        <f>J83*4/12*0.03*0.7+(1600*0.03*2)+(1600*0.14*2)+(1600*0.05)</f>
        <v>664.04000000000008</v>
      </c>
      <c r="E83" s="15">
        <f>K83*4/12*0.03*0.7+(1600*0.03*3)+(1600*0.14*3)+(1600*0.05*2)</f>
        <v>1025.2800000000002</v>
      </c>
      <c r="F83" s="15">
        <f>L83*4/12*0.03*0.7+(1600*0.03*4)+(1600*0.14*4)+(1600*0.05*3)</f>
        <v>1386.52</v>
      </c>
      <c r="G83" s="15">
        <f>M83*4/12*0.03*0.7+(1600*0.03*5)+(1600*0.14*5)+(1600*0.05*4)</f>
        <v>1747.7600000000002</v>
      </c>
      <c r="H83" s="16">
        <f>N83*4/12*0.03*0.7+(1600*0.03*6)+(1600*0.14*6)+(1600*0.05*5)</f>
        <v>2109</v>
      </c>
      <c r="I83" s="21">
        <f>4400*4/12*0.03+(1600*0.03)+(1600*0.14)</f>
        <v>316</v>
      </c>
      <c r="J83" s="21">
        <v>5720</v>
      </c>
      <c r="K83" s="21">
        <v>7040</v>
      </c>
      <c r="L83" s="21">
        <v>8360</v>
      </c>
      <c r="M83" s="21">
        <v>9680</v>
      </c>
      <c r="N83" s="21">
        <v>11000</v>
      </c>
    </row>
    <row r="84" spans="1:14" ht="36.85" customHeight="1" thickBot="1" x14ac:dyDescent="0.5">
      <c r="A84" s="14" t="s">
        <v>129</v>
      </c>
      <c r="B84" s="14" t="s">
        <v>130</v>
      </c>
      <c r="C84" s="15">
        <f>12800*4/12*0.03*0.7+(1600*0.03)+(1600*0.14)</f>
        <v>361.6</v>
      </c>
      <c r="D84" s="15">
        <f>J84*4/12*0.03*0.7+(1600*0.03*2)+(1600*0.14*2)+(1600*0.05)</f>
        <v>740.48</v>
      </c>
      <c r="E84" s="15">
        <f>K84*4/12*0.03*0.7+(1600*0.03*3)+(1600*0.14*3)+(1600*0.05*2)</f>
        <v>1119.3600000000001</v>
      </c>
      <c r="F84" s="15">
        <f>L84*4/12*0.03*0.7+(1600*0.03*4)+(1600*0.14*4)+(1600*0.05*3)</f>
        <v>1498.2400000000002</v>
      </c>
      <c r="G84" s="15">
        <f>M84*4/12*0.03*0.7+(1600*0.03*5)+(1600*0.14*5)+(1600*0.05*4)</f>
        <v>1877.1200000000003</v>
      </c>
      <c r="H84" s="16">
        <f>N84*4/12*0.03*0.7+(1600*0.03*6)+(1600*0.14*6)+(1600*0.05*5)</f>
        <v>2256</v>
      </c>
      <c r="I84" s="21">
        <f>12800*4/12*0.03+(1600*0.03)+(1600*0.14)</f>
        <v>400</v>
      </c>
      <c r="J84" s="21">
        <v>16640</v>
      </c>
      <c r="K84" s="21">
        <v>20480</v>
      </c>
      <c r="L84" s="21">
        <v>24320</v>
      </c>
      <c r="M84" s="21">
        <v>28160</v>
      </c>
      <c r="N84" s="21">
        <v>32000</v>
      </c>
    </row>
    <row r="85" spans="1:14" ht="36.85" customHeight="1" thickBot="1" x14ac:dyDescent="0.5">
      <c r="A85" s="14" t="s">
        <v>131</v>
      </c>
      <c r="B85" s="14" t="s">
        <v>132</v>
      </c>
      <c r="C85" s="15">
        <f>12800*4/12*0.03*0.7+(1600*0.03)+(1600*0.14)</f>
        <v>361.6</v>
      </c>
      <c r="D85" s="15">
        <f>J85*4/12*0.03*0.7+(1600*0.03*2)+(1600*0.14*2)+(1600*0.05)</f>
        <v>740.48</v>
      </c>
      <c r="E85" s="15">
        <f>K85*4/12*0.03*0.7+(1600*0.03*3)+(1600*0.14*3)+(1600*0.05*2)</f>
        <v>1119.3600000000001</v>
      </c>
      <c r="F85" s="15">
        <f>L85*4/12*0.03*0.7+(1600*0.03*4)+(1600*0.14*4)+(1600*0.05*3)</f>
        <v>1498.2400000000002</v>
      </c>
      <c r="G85" s="15">
        <f>M85*4/12*0.03*0.7+(1600*0.03*5)+(1600*0.14*5)+(1600*0.05*4)</f>
        <v>1877.1200000000003</v>
      </c>
      <c r="H85" s="16">
        <f>N85*4/12*0.03*0.7+(1600*0.03*6)+(1600*0.14*6)+(1600*0.05*5)</f>
        <v>2256</v>
      </c>
      <c r="I85" s="21">
        <f>12800*4/12*0.03+(1600*0.03)+(1600*0.14)</f>
        <v>400</v>
      </c>
      <c r="J85" s="21">
        <v>16640</v>
      </c>
      <c r="K85" s="21">
        <v>20480</v>
      </c>
      <c r="L85" s="21">
        <v>24320</v>
      </c>
      <c r="M85" s="21">
        <v>28160</v>
      </c>
      <c r="N85" s="21">
        <v>32000</v>
      </c>
    </row>
    <row r="86" spans="1:14" ht="87" customHeight="1" thickBot="1" x14ac:dyDescent="0.5">
      <c r="A86" s="14" t="s">
        <v>133</v>
      </c>
      <c r="B86" s="14" t="s">
        <v>134</v>
      </c>
      <c r="C86" s="15">
        <f>8800*4/12*0.03*0.7+(1600*0.03)+(1600*0.14)</f>
        <v>333.6</v>
      </c>
      <c r="D86" s="15">
        <f>J86*4/12*0.03*0.7+(1600*0.03*2)+(1600*0.14*2)+(1600*0.05)</f>
        <v>704.08</v>
      </c>
      <c r="E86" s="15">
        <f>K86*4/12*0.03*0.7+(1600*0.03*3)+(1600*0.14*3)+(1600*0.05*2)</f>
        <v>1074.5600000000002</v>
      </c>
      <c r="F86" s="15">
        <f>L86*4/12*0.03*0.7+(1600*0.03*4)+(1600*0.14*4)+(1600*0.05*3)</f>
        <v>1445.04</v>
      </c>
      <c r="G86" s="15">
        <f>M86*4/12*0.03*0.7+(1600*0.03*5)+(1600*0.14*5)+(1600*0.05*4)</f>
        <v>1815.5200000000002</v>
      </c>
      <c r="H86" s="16">
        <f>N86*4/12*0.03*0.7+(1600*0.03*6)+(1600*0.14*6)+(1600*0.05*5)</f>
        <v>2186</v>
      </c>
      <c r="I86" s="21">
        <f>8800*4/12*0.03+(1600*0.03)+(1600*0.14)</f>
        <v>360</v>
      </c>
      <c r="J86" s="21">
        <v>11440</v>
      </c>
      <c r="K86" s="21">
        <v>14080</v>
      </c>
      <c r="L86" s="21">
        <v>16720</v>
      </c>
      <c r="M86" s="21">
        <v>19360</v>
      </c>
      <c r="N86" s="21">
        <v>22000</v>
      </c>
    </row>
    <row r="87" spans="1:14" ht="123" customHeight="1" thickBot="1" x14ac:dyDescent="0.5">
      <c r="A87" s="14" t="s">
        <v>135</v>
      </c>
      <c r="B87" s="14" t="s">
        <v>136</v>
      </c>
      <c r="C87" s="15">
        <f>8800*4/12*0.03*0.7+(1600*0.03)+(1600*0.14)</f>
        <v>333.6</v>
      </c>
      <c r="D87" s="15">
        <f>J87*4/12*0.03*0.7+(1600*0.03*2)+(1600*0.14*2)+(1600*0.05)</f>
        <v>704.08</v>
      </c>
      <c r="E87" s="15">
        <f>K87*4/12*0.03*0.7+(1600*0.03*3)+(1600*0.14*3)+(1600*0.05*2)</f>
        <v>1074.5600000000002</v>
      </c>
      <c r="F87" s="15">
        <f>L87*4/12*0.03*0.7+(1600*0.03*4)+(1600*0.14*4)+(1600*0.05*3)</f>
        <v>1445.04</v>
      </c>
      <c r="G87" s="15">
        <f>M87*4/12*0.03*0.7+(1600*0.03*5)+(1600*0.14*5)+(1600*0.05*4)</f>
        <v>1815.5200000000002</v>
      </c>
      <c r="H87" s="16">
        <f>N87*4/12*0.03*0.7+(1600*0.03*6)+(1600*0.14*6)+(1600*0.05*5)</f>
        <v>2186</v>
      </c>
      <c r="I87" s="21">
        <f>8800*4/12*0.03+(1600*0.03)+(1600*0.14)</f>
        <v>360</v>
      </c>
      <c r="J87" s="21">
        <v>11440</v>
      </c>
      <c r="K87" s="21">
        <v>14080</v>
      </c>
      <c r="L87" s="21">
        <v>16720</v>
      </c>
      <c r="M87" s="21">
        <v>19360</v>
      </c>
      <c r="N87" s="21">
        <v>22000</v>
      </c>
    </row>
    <row r="88" spans="1:14" ht="45.75" customHeight="1" thickBot="1" x14ac:dyDescent="0.5">
      <c r="A88" s="14" t="s">
        <v>137</v>
      </c>
      <c r="B88" s="14" t="s">
        <v>138</v>
      </c>
      <c r="C88" s="15">
        <f>8800*4/12*0.03*0.7+(1600*0.03)+(1600*0.14)</f>
        <v>333.6</v>
      </c>
      <c r="D88" s="15">
        <f>J88*4/12*0.03*0.7+(1600*0.03*2)+(1600*0.14*2)+(1600*0.05)</f>
        <v>704.08</v>
      </c>
      <c r="E88" s="15">
        <f>K88*4/12*0.03*0.7+(1600*0.03*3)+(1600*0.14*3)+(1600*0.05*2)</f>
        <v>1074.5600000000002</v>
      </c>
      <c r="F88" s="15">
        <f>L88*4/12*0.03*0.7+(1600*0.03*4)+(1600*0.14*4)+(1600*0.05*3)</f>
        <v>1445.04</v>
      </c>
      <c r="G88" s="15">
        <f>M88*4/12*0.03*0.7+(1600*0.03*5)+(1600*0.14*5)+(1600*0.05*4)</f>
        <v>1815.5200000000002</v>
      </c>
      <c r="H88" s="16">
        <f>N88*4/12*0.03*0.7+(1600*0.03*6)+(1600*0.14*6)+(1600*0.05*5)</f>
        <v>2186</v>
      </c>
      <c r="I88" s="21">
        <f>8800*4/12*0.03+(1600*0.03)+(1600*0.14)</f>
        <v>360</v>
      </c>
      <c r="J88" s="21">
        <v>11440</v>
      </c>
      <c r="K88" s="21">
        <v>14080</v>
      </c>
      <c r="L88" s="21">
        <v>16720</v>
      </c>
      <c r="M88" s="21">
        <v>19360</v>
      </c>
      <c r="N88" s="21">
        <v>22000</v>
      </c>
    </row>
    <row r="89" spans="1:14" ht="93" customHeight="1" thickBot="1" x14ac:dyDescent="0.5">
      <c r="A89" s="14" t="s">
        <v>139</v>
      </c>
      <c r="B89" s="14" t="s">
        <v>140</v>
      </c>
      <c r="C89" s="14"/>
      <c r="D89" s="15"/>
      <c r="E89" s="15"/>
      <c r="F89" s="15"/>
      <c r="G89" s="15"/>
      <c r="H89" s="16"/>
      <c r="I89" s="21"/>
      <c r="J89" s="21"/>
      <c r="K89" s="21"/>
      <c r="L89" s="21"/>
      <c r="M89" s="21"/>
      <c r="N89" s="21"/>
    </row>
    <row r="90" spans="1:14" ht="36.85" customHeight="1" thickBot="1" x14ac:dyDescent="0.5">
      <c r="A90" s="14"/>
      <c r="B90" s="14" t="s">
        <v>141</v>
      </c>
      <c r="C90" s="15">
        <f>2800*4/12*0.03*0.7+(1600*0.03)+(1600*0.14)</f>
        <v>291.60000000000002</v>
      </c>
      <c r="D90" s="15">
        <f>J90*4/12*0.03*0.7+(1600*0.03*2)+(1600*0.14*2)+(1600*0.05)</f>
        <v>649.48</v>
      </c>
      <c r="E90" s="15">
        <f>K90*4/12*0.03*0.7+(1600*0.03*3)+(1600*0.14*3)+(1600*0.05*2)</f>
        <v>1007.3600000000001</v>
      </c>
      <c r="F90" s="15">
        <f>L90*4/12*0.03*0.7+(1600*0.03*4)+(1600*0.14*4)+(1600*0.05*3)</f>
        <v>1365.2400000000002</v>
      </c>
      <c r="G90" s="15">
        <f>M90*4/12*0.03*0.7+(1600*0.03*5)+(1600*0.14*5)+(1600*0.05*4)</f>
        <v>1723.1200000000003</v>
      </c>
      <c r="H90" s="16">
        <f>N90*4/12*0.03*0.7+(1600*0.03*6)+(1600*0.14*6)+(1600*0.05*5)</f>
        <v>2081</v>
      </c>
      <c r="I90" s="21">
        <f>2800*4/12*0.03+(1600*0.03)+(1600*0.14)</f>
        <v>300</v>
      </c>
      <c r="J90" s="21">
        <v>3640</v>
      </c>
      <c r="K90" s="21">
        <v>4480</v>
      </c>
      <c r="L90" s="21">
        <v>5320</v>
      </c>
      <c r="M90" s="21">
        <v>6160</v>
      </c>
      <c r="N90" s="21">
        <v>7000</v>
      </c>
    </row>
    <row r="91" spans="1:14" ht="79.5" customHeight="1" thickBot="1" x14ac:dyDescent="0.5">
      <c r="A91" s="14"/>
      <c r="B91" s="14" t="s">
        <v>142</v>
      </c>
      <c r="C91" s="15">
        <f>8800*4/12*0.03*0.7+(1600*0.03)+(1600*0.14)</f>
        <v>333.6</v>
      </c>
      <c r="D91" s="15">
        <f>J91*4/12*0.03*0.7+(1600*0.03*2)+(1600*0.14*2)+(1600*0.05)</f>
        <v>704.08</v>
      </c>
      <c r="E91" s="15">
        <f>K91*4/12*0.03*0.7+(1600*0.03*3)+(1600*0.14*3)+(1600*0.05*2)</f>
        <v>1074.5600000000002</v>
      </c>
      <c r="F91" s="15">
        <f>L91*4/12*0.03*0.7+(1600*0.03*4)+(1600*0.14*4)+(1600*0.05*3)</f>
        <v>1445.04</v>
      </c>
      <c r="G91" s="15">
        <f>M91*4/12*0.03*0.7+(1600*0.03*5)+(1600*0.14*5)+(1600*0.05*4)</f>
        <v>1815.5200000000002</v>
      </c>
      <c r="H91" s="16">
        <f>N91*4/12*0.03*0.7+(1600*0.03*6)+(1600*0.14*6)+(1600*0.05*5)</f>
        <v>2186</v>
      </c>
      <c r="I91" s="21">
        <f>8800*4/12*0.03+(1600*0.03)+(1600*0.14)</f>
        <v>360</v>
      </c>
      <c r="J91" s="21">
        <v>11440</v>
      </c>
      <c r="K91" s="21">
        <v>14080</v>
      </c>
      <c r="L91" s="21">
        <v>16720</v>
      </c>
      <c r="M91" s="21">
        <v>19360</v>
      </c>
      <c r="N91" s="21">
        <v>22000</v>
      </c>
    </row>
    <row r="92" spans="1:14" ht="84" customHeight="1" thickBot="1" x14ac:dyDescent="0.5">
      <c r="A92" s="14"/>
      <c r="B92" s="14" t="s">
        <v>143</v>
      </c>
      <c r="C92" s="15">
        <f>12800*4/12*0.03*0.7+(1600*0.03)+(1600*0.14)</f>
        <v>361.6</v>
      </c>
      <c r="D92" s="15">
        <f>J92*4/12*0.03*0.7+(1600*0.03*2)+(1600*0.14*2)+(1600*0.05)</f>
        <v>740.48</v>
      </c>
      <c r="E92" s="15">
        <f>K92*4/12*0.03*0.7+(1600*0.03*3)+(1600*0.14*3)+(1600*0.05*2)</f>
        <v>1119.3600000000001</v>
      </c>
      <c r="F92" s="15">
        <f>L92*4/12*0.03*0.7+(1600*0.03*4)+(1600*0.14*4)+(1600*0.05*3)</f>
        <v>1498.2400000000002</v>
      </c>
      <c r="G92" s="15">
        <f>M92*4/12*0.03*0.7+(1600*0.03*5)+(1600*0.14*5)+(1600*0.05*4)</f>
        <v>1877.1200000000003</v>
      </c>
      <c r="H92" s="16">
        <f>N92*4/12*0.03*0.7+(1600*0.03*6)+(1600*0.14*6)+(1600*0.05*5)</f>
        <v>2256</v>
      </c>
      <c r="I92" s="21">
        <f>12800*4/12*0.03+(1600*0.03)+(1600*0.14)</f>
        <v>400</v>
      </c>
      <c r="J92" s="21">
        <v>16640</v>
      </c>
      <c r="K92" s="21">
        <v>20480</v>
      </c>
      <c r="L92" s="21">
        <v>24320</v>
      </c>
      <c r="M92" s="21">
        <v>28160</v>
      </c>
      <c r="N92" s="21">
        <v>32000</v>
      </c>
    </row>
    <row r="93" spans="1:14" ht="63.75" customHeight="1" thickBot="1" x14ac:dyDescent="0.5">
      <c r="A93" s="14" t="s">
        <v>144</v>
      </c>
      <c r="B93" s="14" t="s">
        <v>145</v>
      </c>
      <c r="C93" s="15">
        <f>18800*4/12*0.03*0.7+(1600*0.03)+(1600*0.14)</f>
        <v>403.6</v>
      </c>
      <c r="D93" s="15">
        <f>J93*4/12*0.03*0.7+(1600*0.03*2)+(1600*0.14*2)+(1600*0.05)</f>
        <v>795.08</v>
      </c>
      <c r="E93" s="15">
        <f>K93*4/12*0.03*0.7+(1600*0.03*3)+(1600*0.14*3)+(1600*0.05*2)</f>
        <v>1186.56</v>
      </c>
      <c r="F93" s="15">
        <f>L93*4/12*0.03*0.7+(1600*0.03*4)+(1600*0.14*4)+(1600*0.05*3)</f>
        <v>1578.04</v>
      </c>
      <c r="G93" s="15">
        <f>M93*4/12*0.03*0.7+(1600*0.03*5)+(1600*0.14*5)+(1600*0.05*4)</f>
        <v>1969.5200000000002</v>
      </c>
      <c r="H93" s="16">
        <f>N93*4/12*0.03*0.7+(1600*0.03*6)+(1600*0.14*6)+(1600*0.05*5)</f>
        <v>2361</v>
      </c>
      <c r="I93" s="21">
        <f>18800*4/12*0.03+(1600*0.03)+(1600*0.14)</f>
        <v>460</v>
      </c>
      <c r="J93" s="21">
        <v>24440</v>
      </c>
      <c r="K93" s="21">
        <v>30080</v>
      </c>
      <c r="L93" s="21">
        <v>35720</v>
      </c>
      <c r="M93" s="21">
        <v>41360</v>
      </c>
      <c r="N93" s="21">
        <v>47000</v>
      </c>
    </row>
    <row r="94" spans="1:14" ht="104.25" customHeight="1" thickBot="1" x14ac:dyDescent="0.5">
      <c r="A94" s="14" t="s">
        <v>146</v>
      </c>
      <c r="B94" s="14" t="s">
        <v>147</v>
      </c>
      <c r="C94" s="15">
        <f>12800*4/12*0.03*0.7+(1600*0.03)+(1600*0.14)</f>
        <v>361.6</v>
      </c>
      <c r="D94" s="15">
        <f>J94*4/12*0.03*0.7+(1600*0.03*2)+(1600*0.14*2)+(1600*0.05)</f>
        <v>740.48</v>
      </c>
      <c r="E94" s="15">
        <f>K94*4/12*0.03*0.7+(1600*0.03*3)+(1600*0.14*3)+(1600*0.05*2)</f>
        <v>1119.3600000000001</v>
      </c>
      <c r="F94" s="15">
        <f>L94*4/12*0.03*0.7+(1600*0.03*4)+(1600*0.14*4)+(1600*0.05*3)</f>
        <v>1498.2400000000002</v>
      </c>
      <c r="G94" s="15">
        <f>M94*4/12*0.03*0.7+(1600*0.03*5)+(1600*0.14*5)+(1600*0.05*4)</f>
        <v>1877.1200000000003</v>
      </c>
      <c r="H94" s="16">
        <f>N94*4/12*0.03*0.7+(1600*0.03*6)+(1600*0.14*6)+(1600*0.05*5)</f>
        <v>2256</v>
      </c>
      <c r="I94" s="21">
        <f>12800*4/12*0.03+(1600*0.03)+(1600*0.14)</f>
        <v>400</v>
      </c>
      <c r="J94" s="21">
        <v>16640</v>
      </c>
      <c r="K94" s="21">
        <v>20480</v>
      </c>
      <c r="L94" s="21">
        <v>24320</v>
      </c>
      <c r="M94" s="21">
        <v>28160</v>
      </c>
      <c r="N94" s="21">
        <v>32000</v>
      </c>
    </row>
    <row r="95" spans="1:14" ht="71.25" customHeight="1" thickBot="1" x14ac:dyDescent="0.5">
      <c r="A95" s="14" t="s">
        <v>148</v>
      </c>
      <c r="B95" s="14" t="s">
        <v>149</v>
      </c>
      <c r="C95" s="15">
        <f>12800*4/12*0.03*0.7+(1600*0.03)+(1600*0.14)</f>
        <v>361.6</v>
      </c>
      <c r="D95" s="15">
        <f>J95*4/12*0.03*0.7+(1600*0.03*2)+(1600*0.14*2)+(1600*0.05)</f>
        <v>740.48</v>
      </c>
      <c r="E95" s="15">
        <f>K95*4/12*0.03*0.7+(1600*0.03*3)+(1600*0.14*3)+(1600*0.05*2)</f>
        <v>1119.3600000000001</v>
      </c>
      <c r="F95" s="15">
        <f>L95*4/12*0.03*0.7+(1600*0.03*4)+(1600*0.14*4)+(1600*0.05*3)</f>
        <v>1498.2400000000002</v>
      </c>
      <c r="G95" s="15">
        <f>M95*4/12*0.03*0.7+(1600*0.03*5)+(1600*0.14*5)+(1600*0.05*4)</f>
        <v>1877.1200000000003</v>
      </c>
      <c r="H95" s="16">
        <f>N95*4/12*0.03*0.7+(1600*0.03*6)+(1600*0.14*6)+(1600*0.05*5)</f>
        <v>2256</v>
      </c>
      <c r="I95" s="21">
        <f>12800*4/12*0.03+(1600*0.03)+(1600*0.14)</f>
        <v>400</v>
      </c>
      <c r="J95" s="21">
        <v>16640</v>
      </c>
      <c r="K95" s="21">
        <v>20480</v>
      </c>
      <c r="L95" s="21">
        <v>24320</v>
      </c>
      <c r="M95" s="21">
        <v>28160</v>
      </c>
      <c r="N95" s="21">
        <v>32000</v>
      </c>
    </row>
    <row r="96" spans="1:14" ht="59.25" customHeight="1" thickBot="1" x14ac:dyDescent="0.5">
      <c r="A96" s="14" t="s">
        <v>150</v>
      </c>
      <c r="B96" s="14" t="s">
        <v>151</v>
      </c>
      <c r="C96" s="15">
        <f>21000*4/12*0.03*0.7+(1600*0.03)+(1600*0.14)</f>
        <v>419</v>
      </c>
      <c r="D96" s="15">
        <f>J96*4/12*0.03*0.7+(1600*0.03*2)+(1600*0.14*2)+(1600*0.05)</f>
        <v>815.10000000000014</v>
      </c>
      <c r="E96" s="15">
        <f>K96*4/12*0.03*0.7+(1600*0.03*3)+(1600*0.14*3)+(1600*0.05*2)</f>
        <v>1211.2</v>
      </c>
      <c r="F96" s="15">
        <f>L96*4/12*0.03*0.7+(1600*0.03*4)+(1600*0.14*4)+(1600*0.05*3)</f>
        <v>1607.3000000000002</v>
      </c>
      <c r="G96" s="15">
        <f>M96*4/12*0.03*0.7+(1600*0.03*5)+(1600*0.14*5)+(1600*0.05*4)</f>
        <v>2003.4</v>
      </c>
      <c r="H96" s="16">
        <f>N96*4/12*0.03*0.7+(1600*0.03*6)+(1600*0.14*6)+(1600*0.05*5)</f>
        <v>2399.5</v>
      </c>
      <c r="I96" s="21">
        <f>21000*4/12*0.03+(1600*0.03)+(1600*0.14)</f>
        <v>482</v>
      </c>
      <c r="J96" s="21">
        <v>27300</v>
      </c>
      <c r="K96" s="21">
        <v>33600</v>
      </c>
      <c r="L96" s="21">
        <v>39900</v>
      </c>
      <c r="M96" s="21">
        <v>46200</v>
      </c>
      <c r="N96" s="21">
        <v>52500</v>
      </c>
    </row>
    <row r="97" spans="1:14" ht="36.85" customHeight="1" thickBot="1" x14ac:dyDescent="0.5">
      <c r="A97" s="14" t="s">
        <v>152</v>
      </c>
      <c r="B97" s="14" t="s">
        <v>153</v>
      </c>
      <c r="C97" s="22"/>
      <c r="D97" s="22"/>
      <c r="E97" s="22"/>
      <c r="F97" s="22"/>
      <c r="G97" s="22"/>
      <c r="H97" s="22"/>
      <c r="I97" s="21">
        <f>16800*4/12*0.03+(1600*0.03)+(1600*0.14)</f>
        <v>440</v>
      </c>
      <c r="J97" s="21">
        <v>21840</v>
      </c>
      <c r="K97" s="21">
        <v>26880</v>
      </c>
      <c r="L97" s="21">
        <v>31920</v>
      </c>
      <c r="M97" s="21">
        <v>36960</v>
      </c>
      <c r="N97" s="21">
        <v>42000</v>
      </c>
    </row>
    <row r="98" spans="1:14" ht="52.5" customHeight="1" thickBot="1" x14ac:dyDescent="0.5">
      <c r="A98" s="14"/>
      <c r="B98" s="14" t="s">
        <v>154</v>
      </c>
      <c r="C98" s="15">
        <f>16800*4/12*0.03*0.7+(1600*0.03)+(1600*0.14)</f>
        <v>389.6</v>
      </c>
      <c r="D98" s="15">
        <f>J98*4/12*0.03*0.7+(1600*0.03*2)+(1600*0.14*2)+(1600*0.05)</f>
        <v>624</v>
      </c>
      <c r="E98" s="15">
        <f>K98*4/12*0.03*0.7+(1600*0.03*3)+(1600*0.14*3)+(1600*0.05*2)</f>
        <v>976.00000000000011</v>
      </c>
      <c r="F98" s="15">
        <f>L98*4/12*0.03*0.7+(1600*0.03*4)+(1600*0.14*4)+(1600*0.05*3)</f>
        <v>1328</v>
      </c>
      <c r="G98" s="15">
        <f>M98*4/12*0.03*0.7+(1600*0.03*5)+(1600*0.14*5)+(1600*0.05*4)</f>
        <v>1680.0000000000002</v>
      </c>
      <c r="H98" s="16">
        <f>N98*4/12*0.03*0.7+(1600*0.03*6)+(1600*0.14*6)+(1600*0.05*5)</f>
        <v>2032.0000000000002</v>
      </c>
      <c r="I98" s="21"/>
      <c r="J98" s="21"/>
      <c r="K98" s="21"/>
      <c r="L98" s="21"/>
      <c r="M98" s="21"/>
      <c r="N98" s="21"/>
    </row>
    <row r="99" spans="1:14" ht="36.85" customHeight="1" thickBot="1" x14ac:dyDescent="0.5">
      <c r="A99" s="14"/>
      <c r="B99" s="14" t="s">
        <v>155</v>
      </c>
      <c r="C99" s="15">
        <f>25000*4/12*0.03*0.7+(1600*0.03)+(1600*0.14)</f>
        <v>447</v>
      </c>
      <c r="D99" s="15">
        <f>J99*4/12*0.03*0.7+(1600*0.03*2)+(1600*0.14*2)+(1600*0.05)</f>
        <v>851.5</v>
      </c>
      <c r="E99" s="15">
        <f>K99*4/12*0.03*0.7+(1600*0.03*3)+(1600*0.14*3)+(1600*0.05*2)</f>
        <v>1256</v>
      </c>
      <c r="F99" s="15">
        <f>L99*4/12*0.03*0.7+(1600*0.03*4)+(1600*0.14*4)+(1600*0.05*3)</f>
        <v>1660.5</v>
      </c>
      <c r="G99" s="15">
        <f>M99*4/12*0.03*0.7+(1600*0.03*5)+(1600*0.14*5)+(1600*0.05*4)</f>
        <v>2065</v>
      </c>
      <c r="H99" s="16">
        <f>N99*4/12*0.03*0.7+(1600*0.03*6)+(1600*0.14*6)+(1600*0.05*5)</f>
        <v>2469.5</v>
      </c>
      <c r="I99" s="21">
        <f>25000*4/12*0.03+(1600*0.03)+(1600*0.14)</f>
        <v>522</v>
      </c>
      <c r="J99" s="21">
        <v>32500</v>
      </c>
      <c r="K99" s="21">
        <v>40000</v>
      </c>
      <c r="L99" s="21">
        <v>47500</v>
      </c>
      <c r="M99" s="21">
        <v>55000</v>
      </c>
      <c r="N99" s="21">
        <v>62500</v>
      </c>
    </row>
    <row r="100" spans="1:14" ht="105.75" customHeight="1" thickBot="1" x14ac:dyDescent="0.5">
      <c r="A100" s="14" t="s">
        <v>156</v>
      </c>
      <c r="B100" s="14" t="s">
        <v>157</v>
      </c>
      <c r="C100" s="15">
        <f>2800*4/12*0.03*0.7+(1600*0.03)+(1600*0.14)</f>
        <v>291.60000000000002</v>
      </c>
      <c r="D100" s="15">
        <f>J100*4/12*0.03*0.7+(1600*0.03*2)+(1600*0.14*2)+(1600*0.05)</f>
        <v>649.48</v>
      </c>
      <c r="E100" s="15">
        <f>K100*4/12*0.03*0.7+(1600*0.03*3)+(1600*0.14*3)+(1600*0.05*2)</f>
        <v>1007.3600000000001</v>
      </c>
      <c r="F100" s="15">
        <f>L100*4/12*0.03*0.7+(1600*0.03*4)+(1600*0.14*4)+(1600*0.05*3)</f>
        <v>1365.2400000000002</v>
      </c>
      <c r="G100" s="15">
        <f>M100*4/12*0.03*0.7+(1600*0.03*5)+(1600*0.14*5)+(1600*0.05*4)</f>
        <v>1723.1200000000003</v>
      </c>
      <c r="H100" s="16">
        <f>N100*4/12*0.03*0.7+(1600*0.03*6)+(1600*0.14*6)+(1600*0.05*5)</f>
        <v>2081</v>
      </c>
      <c r="I100" s="21">
        <f>2800*4/12*0.03+(1600*0.03)+(1600*0.14)</f>
        <v>300</v>
      </c>
      <c r="J100" s="21">
        <v>3640</v>
      </c>
      <c r="K100" s="21">
        <v>4480</v>
      </c>
      <c r="L100" s="21">
        <v>5320</v>
      </c>
      <c r="M100" s="21">
        <v>6160</v>
      </c>
      <c r="N100" s="21">
        <v>7000</v>
      </c>
    </row>
    <row r="101" spans="1:14" ht="123" customHeight="1" thickBot="1" x14ac:dyDescent="0.5">
      <c r="A101" s="14" t="s">
        <v>158</v>
      </c>
      <c r="B101" s="14" t="s">
        <v>159</v>
      </c>
      <c r="C101" s="15">
        <f>8800*4/12*0.03*0.7+(1600*0.03)+(1600*0.14)</f>
        <v>333.6</v>
      </c>
      <c r="D101" s="15">
        <f>J101*4/12*0.03*0.7+(1600*0.03*2)+(1600*0.14*2)+(1600*0.05)</f>
        <v>704.08</v>
      </c>
      <c r="E101" s="15">
        <f>K101*4/12*0.03*0.7+(1600*0.03*3)+(1600*0.14*3)+(1600*0.05*2)</f>
        <v>1074.5600000000002</v>
      </c>
      <c r="F101" s="15">
        <f>L101*4/12*0.03*0.7+(1600*0.03*4)+(1600*0.14*4)+(1600*0.05*3)</f>
        <v>1445.04</v>
      </c>
      <c r="G101" s="15">
        <f>M101*4/12*0.03*0.7+(1600*0.03*5)+(1600*0.14*5)+(1600*0.05*4)</f>
        <v>1815.5200000000002</v>
      </c>
      <c r="H101" s="16">
        <f>N101*4/12*0.03*0.7+(1600*0.03*6)+(1600*0.14*6)+(1600*0.05*5)</f>
        <v>2186</v>
      </c>
      <c r="I101" s="21">
        <f>8800*4/12*0.03+(1600*0.03)+(1600*0.14)</f>
        <v>360</v>
      </c>
      <c r="J101" s="21">
        <v>11440</v>
      </c>
      <c r="K101" s="21">
        <v>14080</v>
      </c>
      <c r="L101" s="21">
        <v>16720</v>
      </c>
      <c r="M101" s="21">
        <v>19360</v>
      </c>
      <c r="N101" s="21">
        <v>22000</v>
      </c>
    </row>
    <row r="102" spans="1:14" ht="36.85" customHeight="1" thickBot="1" x14ac:dyDescent="0.5">
      <c r="A102" s="14" t="s">
        <v>160</v>
      </c>
      <c r="B102" s="14" t="s">
        <v>161</v>
      </c>
      <c r="C102" s="15">
        <f>4400*4/12*0.03*0.7+(1600*0.03)+(1600*0.14)</f>
        <v>302.8</v>
      </c>
      <c r="D102" s="15">
        <f>J102*4/12*0.03*0.7+(1600*0.03*2)+(1600*0.14*2)+(1600*0.05)</f>
        <v>664.04000000000008</v>
      </c>
      <c r="E102" s="15">
        <f>K102*4/12*0.03*0.7+(1600*0.03*3)+(1600*0.14*3)+(1600*0.05*2)</f>
        <v>1025.2800000000002</v>
      </c>
      <c r="F102" s="15">
        <f>L102*4/12*0.03*0.7+(1600*0.03*4)+(1600*0.14*4)+(1600*0.05*3)</f>
        <v>1386.52</v>
      </c>
      <c r="G102" s="15">
        <f>M102*4/12*0.03*0.7+(1600*0.03*5)+(1600*0.14*5)+(1600*0.05*4)</f>
        <v>1747.7600000000002</v>
      </c>
      <c r="H102" s="16">
        <f>N102*4/12*0.03*0.7+(1600*0.03*6)+(1600*0.14*6)+(1600*0.05*5)</f>
        <v>2109</v>
      </c>
      <c r="I102" s="21">
        <f>4400*4/12*0.03+(1600*0.03)+(1600*0.14)</f>
        <v>316</v>
      </c>
      <c r="J102" s="21">
        <v>5720</v>
      </c>
      <c r="K102" s="21">
        <v>7040</v>
      </c>
      <c r="L102" s="21">
        <v>8360</v>
      </c>
      <c r="M102" s="21">
        <v>9680</v>
      </c>
      <c r="N102" s="21">
        <v>11000</v>
      </c>
    </row>
    <row r="103" spans="1:14" ht="88.5" customHeight="1" thickBot="1" x14ac:dyDescent="0.5">
      <c r="A103" s="14" t="s">
        <v>162</v>
      </c>
      <c r="B103" s="14" t="s">
        <v>163</v>
      </c>
      <c r="C103" s="15">
        <f>20100*4/12*0.03*0.7+(1600*0.03)+(1600*0.14)</f>
        <v>412.70000000000005</v>
      </c>
      <c r="D103" s="15">
        <f t="shared" ref="D85:D128" si="7">J103*4/12*0.03+(1600*0.03*2)+(1600*0.14*2)+(1600*0.05)</f>
        <v>885.30000000000007</v>
      </c>
      <c r="E103" s="15">
        <f t="shared" ref="E85:E128" si="8">K103*4/12*0.03+(1600*0.03*3)+(1600*0.14*3)+(1600*0.05*2)</f>
        <v>1297.6000000000001</v>
      </c>
      <c r="F103" s="15">
        <f t="shared" ref="F85:F128" si="9">L103*4/12*0.03+(1600*0.03*4)+(1600*0.14*4)+(1600*0.05*3)</f>
        <v>1709.9</v>
      </c>
      <c r="G103" s="15">
        <f t="shared" ref="G85:G128" si="10">M103*4/12*0.03+(1600*0.03*5)+(1600*0.14*5)+(1600*0.05*4)</f>
        <v>2122.2000000000003</v>
      </c>
      <c r="H103" s="16">
        <f t="shared" ref="H85:H128" si="11">N103*4/12*0.03+(1600*0.03*6)+(1600*0.14*6)+(1600*0.05*5)</f>
        <v>2534.5</v>
      </c>
      <c r="I103" s="21">
        <f>20100*4/12*0.03+(1600*0.03)+(1600*0.14)</f>
        <v>473</v>
      </c>
      <c r="J103" s="21">
        <v>26130</v>
      </c>
      <c r="K103" s="21">
        <v>32160</v>
      </c>
      <c r="L103" s="21">
        <v>38190</v>
      </c>
      <c r="M103" s="21">
        <v>44220</v>
      </c>
      <c r="N103" s="21">
        <v>50250</v>
      </c>
    </row>
    <row r="104" spans="1:14" ht="36.85" customHeight="1" thickBot="1" x14ac:dyDescent="0.5">
      <c r="A104" s="14" t="s">
        <v>164</v>
      </c>
      <c r="B104" s="14" t="s">
        <v>165</v>
      </c>
      <c r="C104" s="14"/>
      <c r="D104" s="15"/>
      <c r="E104" s="15"/>
      <c r="F104" s="15"/>
      <c r="G104" s="15"/>
      <c r="H104" s="16"/>
      <c r="I104" s="21"/>
      <c r="J104" s="21"/>
      <c r="K104" s="21"/>
      <c r="L104" s="21"/>
      <c r="M104" s="21"/>
      <c r="N104" s="21"/>
    </row>
    <row r="105" spans="1:14" ht="36.85" customHeight="1" thickBot="1" x14ac:dyDescent="0.5">
      <c r="A105" s="14"/>
      <c r="B105" s="14" t="s">
        <v>166</v>
      </c>
      <c r="C105" s="15">
        <f>12800*4/12*0.03*0.7+(1600*0.03)+(1600*0.14)</f>
        <v>361.6</v>
      </c>
      <c r="D105" s="15">
        <f>J105*4/12*0.03*0.7+(1600*0.03*2)+(1600*0.14*2)+(1600*0.05)</f>
        <v>740.48</v>
      </c>
      <c r="E105" s="15">
        <f>K105*4/12*0.03*0.7+(1600*0.03*3)+(1600*0.14*3)+(1600*0.05*2)</f>
        <v>1119.3600000000001</v>
      </c>
      <c r="F105" s="15">
        <f>L105*4/12*0.03*0.7+(1600*0.03*4)+(1600*0.14*4)+(1600*0.05*3)</f>
        <v>1498.2400000000002</v>
      </c>
      <c r="G105" s="15">
        <f>M105*4/12*0.03*0.7+(1600*0.03*5)+(1600*0.14*5)+(1600*0.05*4)</f>
        <v>1877.1200000000003</v>
      </c>
      <c r="H105" s="16">
        <f>N105*4/12*0.03*0.7+(1600*0.03*6)+(1600*0.14*6)+(1600*0.05*5)</f>
        <v>2256</v>
      </c>
      <c r="I105" s="21">
        <f>12800*4/12*0.03+(1600*0.03)+(1600*0.14)</f>
        <v>400</v>
      </c>
      <c r="J105" s="21">
        <v>16640</v>
      </c>
      <c r="K105" s="21">
        <v>20480</v>
      </c>
      <c r="L105" s="21">
        <v>24320</v>
      </c>
      <c r="M105" s="21">
        <v>28160</v>
      </c>
      <c r="N105" s="21">
        <v>32000</v>
      </c>
    </row>
    <row r="106" spans="1:14" ht="36.85" customHeight="1" thickBot="1" x14ac:dyDescent="0.5">
      <c r="A106" s="14"/>
      <c r="B106" s="14" t="s">
        <v>167</v>
      </c>
      <c r="C106" s="15">
        <f>21000*4/12*0.03*0.7+(1600*0.03)+(1600*0.14)</f>
        <v>419</v>
      </c>
      <c r="D106" s="15">
        <f>J106*4/12*0.03*0.7+(1600*0.03*2)+(1600*0.14*2)+(1600*0.05)</f>
        <v>815.10000000000014</v>
      </c>
      <c r="E106" s="15">
        <f>K106*4/12*0.03*0.7+(1600*0.03*3)+(1600*0.14*3)+(1600*0.05*2)</f>
        <v>1211.2</v>
      </c>
      <c r="F106" s="15">
        <f>L106*4/12*0.03*0.7+(1600*0.03*4)+(1600*0.14*4)+(1600*0.05*3)</f>
        <v>1607.3000000000002</v>
      </c>
      <c r="G106" s="15">
        <f>M106*4/12*0.03*0.7+(1600*0.03*5)+(1600*0.14*5)+(1600*0.05*4)</f>
        <v>2003.4</v>
      </c>
      <c r="H106" s="16">
        <f>N106*4/12*0.03*0.7+(1600*0.03*6)+(1600*0.14*6)+(1600*0.05*5)</f>
        <v>2399.5</v>
      </c>
      <c r="I106" s="21">
        <f>21000*4/12*0.03+(1600*0.03)+(1600*0.14)</f>
        <v>482</v>
      </c>
      <c r="J106" s="21">
        <v>27300</v>
      </c>
      <c r="K106" s="21">
        <v>33600</v>
      </c>
      <c r="L106" s="21">
        <v>39900</v>
      </c>
      <c r="M106" s="21">
        <v>46200</v>
      </c>
      <c r="N106" s="21">
        <v>52500</v>
      </c>
    </row>
    <row r="107" spans="1:14" ht="36.85" customHeight="1" thickBot="1" x14ac:dyDescent="0.5">
      <c r="A107" s="14" t="s">
        <v>168</v>
      </c>
      <c r="B107" s="14" t="s">
        <v>169</v>
      </c>
      <c r="C107" s="15">
        <f>2100*4/12*0.03*0.7+(1600*0.03)+(1600*0.14)</f>
        <v>286.70000000000005</v>
      </c>
      <c r="D107" s="15">
        <f>J107*4/12*0.03*0.7+(1600*0.03*2)+(1600*0.14*2)+(1600*0.05)</f>
        <v>815.10000000000014</v>
      </c>
      <c r="E107" s="15">
        <f>K107*4/12*0.03*0.7+(1600*0.03*3)+(1600*0.14*3)+(1600*0.05*2)</f>
        <v>1211.2</v>
      </c>
      <c r="F107" s="15">
        <f>L107*4/12*0.03*0.7+(1600*0.03*4)+(1600*0.14*4)+(1600*0.05*3)</f>
        <v>1607.3000000000002</v>
      </c>
      <c r="G107" s="15">
        <f>M107*4/12*0.03*0.7+(1600*0.03*5)+(1600*0.14*5)+(1600*0.05*4)</f>
        <v>2003.4</v>
      </c>
      <c r="H107" s="16">
        <f>N107*4/12*0.03*0.7+(1600*0.03*6)+(1600*0.14*6)+(1600*0.05*5)</f>
        <v>2399.5</v>
      </c>
      <c r="I107" s="21">
        <f>2100*4/12*0.03+(1600*0.03)+(1600*0.14)</f>
        <v>293</v>
      </c>
      <c r="J107" s="21">
        <v>27300</v>
      </c>
      <c r="K107" s="21">
        <v>33600</v>
      </c>
      <c r="L107" s="21">
        <v>39900</v>
      </c>
      <c r="M107" s="21">
        <v>46200</v>
      </c>
      <c r="N107" s="21">
        <v>52500</v>
      </c>
    </row>
    <row r="108" spans="1:14" ht="36.85" customHeight="1" thickBot="1" x14ac:dyDescent="0.5">
      <c r="A108" s="14" t="s">
        <v>170</v>
      </c>
      <c r="B108" s="14" t="s">
        <v>171</v>
      </c>
      <c r="C108" s="14">
        <f>4000*4/12*0.03*0.7+(1600*0.03)+(1600*0.14)</f>
        <v>300</v>
      </c>
      <c r="D108" s="15">
        <f>J108*4/12*0.03*0.7+(1600*0.03*2)+(1600*0.14*2)+(1600*0.05)</f>
        <v>660.40000000000009</v>
      </c>
      <c r="E108" s="15">
        <f>K108*4/12*0.03*0.7+(1600*0.03*3)+(1600*0.14*3)+(1600*0.05*2)</f>
        <v>1020.8000000000002</v>
      </c>
      <c r="F108" s="15">
        <f>L108*4/12*0.03*0.7+(1600*0.03*4)+(1600*0.14*4)+(1600*0.05*3)</f>
        <v>1381.2</v>
      </c>
      <c r="G108" s="15">
        <f>M108*4/12*0.03*0.7+(1600*0.03*5)+(1600*0.14*5)+(1600*0.05*4)</f>
        <v>1741.6000000000004</v>
      </c>
      <c r="H108" s="16">
        <f>N108*4/12*0.03*0.7+(1600*0.03*6)+(1600*0.14*6)+(1600*0.05*5)</f>
        <v>2102</v>
      </c>
      <c r="I108" s="21">
        <f>4000*4/12*0.03+(1600*0.03)+(1600*0.14)</f>
        <v>312</v>
      </c>
      <c r="J108" s="21">
        <v>5200</v>
      </c>
      <c r="K108" s="21">
        <v>6400</v>
      </c>
      <c r="L108" s="21">
        <v>7600</v>
      </c>
      <c r="M108" s="21">
        <v>8800</v>
      </c>
      <c r="N108" s="21">
        <v>10000</v>
      </c>
    </row>
    <row r="109" spans="1:14" ht="36.85" customHeight="1" thickBot="1" x14ac:dyDescent="0.5">
      <c r="A109" s="14"/>
      <c r="B109" s="14"/>
      <c r="C109" s="14" t="s">
        <v>172</v>
      </c>
      <c r="D109" s="14" t="s">
        <v>172</v>
      </c>
      <c r="E109" s="14" t="s">
        <v>172</v>
      </c>
      <c r="F109" s="14" t="s">
        <v>172</v>
      </c>
      <c r="G109" s="14" t="s">
        <v>172</v>
      </c>
      <c r="H109" s="14" t="s">
        <v>172</v>
      </c>
      <c r="I109" s="21" t="s">
        <v>172</v>
      </c>
      <c r="J109" s="21" t="s">
        <v>172</v>
      </c>
      <c r="K109" s="21" t="s">
        <v>172</v>
      </c>
      <c r="L109" s="21" t="s">
        <v>172</v>
      </c>
      <c r="M109" s="21" t="s">
        <v>172</v>
      </c>
      <c r="N109" s="21" t="s">
        <v>172</v>
      </c>
    </row>
    <row r="110" spans="1:14" ht="71.25" customHeight="1" thickBot="1" x14ac:dyDescent="0.5">
      <c r="A110" s="14" t="s">
        <v>173</v>
      </c>
      <c r="B110" s="14" t="s">
        <v>174</v>
      </c>
      <c r="C110" s="14"/>
      <c r="D110" s="15"/>
      <c r="E110" s="15"/>
      <c r="F110" s="15"/>
      <c r="G110" s="15"/>
      <c r="H110" s="16"/>
      <c r="I110" s="21"/>
      <c r="J110" s="21"/>
      <c r="K110" s="21"/>
      <c r="L110" s="21"/>
      <c r="M110" s="21"/>
      <c r="N110" s="21"/>
    </row>
    <row r="111" spans="1:14" ht="68.25" customHeight="1" thickBot="1" x14ac:dyDescent="0.5">
      <c r="A111" s="14"/>
      <c r="B111" s="14" t="s">
        <v>175</v>
      </c>
      <c r="C111" s="15">
        <f>12800*4/12*0.03*0.7+(1600*0.03)+(1600*0.14)</f>
        <v>361.6</v>
      </c>
      <c r="D111" s="15">
        <f>J111*4/12*0.03*0.7+(1600*0.03*2)+(1600*0.14*2)+(1600*0.05)</f>
        <v>740.48</v>
      </c>
      <c r="E111" s="15">
        <f>K111*4/12*0.03*0.7+(1600*0.03*3)+(1600*0.14*3)+(1600*0.05*2)</f>
        <v>1119.3600000000001</v>
      </c>
      <c r="F111" s="15">
        <f>L111*4/12*0.03*0.7+(1600*0.03*4)+(1600*0.14*4)+(1600*0.05*3)</f>
        <v>1498.2400000000002</v>
      </c>
      <c r="G111" s="15">
        <f>M111*4/12*0.03*0.7+(1600*0.03*5)+(1600*0.14*5)+(1600*0.05*4)</f>
        <v>1877.1200000000003</v>
      </c>
      <c r="H111" s="16">
        <f>N111*4/12*0.03*0.7+(1600*0.03*6)+(1600*0.14*6)+(1600*0.05*5)</f>
        <v>2256</v>
      </c>
      <c r="I111" s="21">
        <f>12800*4/12*0.03+(1600*0.03)+(1600*0.14)</f>
        <v>400</v>
      </c>
      <c r="J111" s="21">
        <v>16640</v>
      </c>
      <c r="K111" s="21">
        <v>20480</v>
      </c>
      <c r="L111" s="21">
        <v>24320</v>
      </c>
      <c r="M111" s="21">
        <v>28160</v>
      </c>
      <c r="N111" s="21">
        <v>32000</v>
      </c>
    </row>
    <row r="112" spans="1:14" ht="66" customHeight="1" thickBot="1" x14ac:dyDescent="0.5">
      <c r="A112" s="14"/>
      <c r="B112" s="14" t="s">
        <v>176</v>
      </c>
      <c r="C112" s="15">
        <f>21000*4/12*0.03*0.7+(1600*0.03)+(1600*0.14)</f>
        <v>419</v>
      </c>
      <c r="D112" s="15">
        <f>J112*4/12*0.03*0.7+(1600*0.03*2)+(1600*0.14*2)+(1600*0.05)</f>
        <v>815.10000000000014</v>
      </c>
      <c r="E112" s="15">
        <f>K112*4/12*0.03*0.7+(1600*0.03*3)+(1600*0.14*3)+(1600*0.05*2)</f>
        <v>1211.2</v>
      </c>
      <c r="F112" s="15">
        <f>L112*4/12*0.03*0.7+(1600*0.03*4)+(1600*0.14*4)+(1600*0.05*3)</f>
        <v>1607.3000000000002</v>
      </c>
      <c r="G112" s="15">
        <f>M112*4/12*0.03*0.7+(1600*0.03*5)+(1600*0.14*5)+(1600*0.05*4)</f>
        <v>2003.4</v>
      </c>
      <c r="H112" s="16">
        <f>N112*4/12*0.03*0.7+(1600*0.03*6)+(1600*0.14*6)+(1600*0.05*5)</f>
        <v>2399.5</v>
      </c>
      <c r="I112" s="21">
        <f>21000*4/12*0.03+(1600*0.03)+(1600*0.14)</f>
        <v>482</v>
      </c>
      <c r="J112" s="21">
        <v>27300</v>
      </c>
      <c r="K112" s="21">
        <v>33600</v>
      </c>
      <c r="L112" s="21">
        <v>39900</v>
      </c>
      <c r="M112" s="21">
        <v>46200</v>
      </c>
      <c r="N112" s="21">
        <v>52500</v>
      </c>
    </row>
    <row r="113" spans="1:14" ht="36.85" customHeight="1" thickBot="1" x14ac:dyDescent="0.5">
      <c r="A113" s="14" t="s">
        <v>177</v>
      </c>
      <c r="B113" s="14" t="s">
        <v>178</v>
      </c>
      <c r="C113" s="22"/>
      <c r="D113" s="22"/>
      <c r="E113" s="22"/>
      <c r="F113" s="22"/>
      <c r="G113" s="22"/>
      <c r="H113" s="22"/>
      <c r="I113" s="21">
        <f>12800*4/12*0.03+(1600*0.03)+(1600*0.14)</f>
        <v>400</v>
      </c>
      <c r="J113" s="21">
        <v>16640</v>
      </c>
      <c r="K113" s="21">
        <v>20480</v>
      </c>
      <c r="L113" s="21">
        <v>24320</v>
      </c>
      <c r="M113" s="21">
        <v>28160</v>
      </c>
      <c r="N113" s="21">
        <v>32000</v>
      </c>
    </row>
    <row r="114" spans="1:14" ht="36.85" customHeight="1" thickBot="1" x14ac:dyDescent="0.5">
      <c r="A114" s="14"/>
      <c r="B114" s="14" t="s">
        <v>179</v>
      </c>
      <c r="C114" s="15">
        <f>12800*4/12*0.03*0.7+(1600*0.03)+(1600*0.14)</f>
        <v>361.6</v>
      </c>
      <c r="D114" s="15">
        <f>J114*4/12*0.03*0.7+(1600*0.03*2)+(1600*0.14*2)+(1600*0.05)</f>
        <v>624</v>
      </c>
      <c r="E114" s="15">
        <f>K114*4/12*0.03*0.7+(1600*0.03*3)+(1600*0.14*3)+(1600*0.05*2)</f>
        <v>976.00000000000011</v>
      </c>
      <c r="F114" s="15">
        <f>L114*4/12*0.03*0.7+(1600*0.03*4)+(1600*0.14*4)+(1600*0.05*3)</f>
        <v>1328</v>
      </c>
      <c r="G114" s="15">
        <f>M114*4/12*0.03*0.7+(1600*0.03*5)+(1600*0.14*5)+(1600*0.05*4)</f>
        <v>1680.0000000000002</v>
      </c>
      <c r="H114" s="16">
        <f>N114*4/12*0.03*0.7+(1600*0.03*6)+(1600*0.14*6)+(1600*0.05*5)</f>
        <v>2032.0000000000002</v>
      </c>
      <c r="I114" s="21"/>
      <c r="J114" s="21"/>
      <c r="K114" s="21"/>
      <c r="L114" s="21"/>
      <c r="M114" s="21"/>
      <c r="N114" s="21"/>
    </row>
    <row r="115" spans="1:14" ht="63" customHeight="1" thickBot="1" x14ac:dyDescent="0.5">
      <c r="A115" s="14"/>
      <c r="B115" s="14" t="s">
        <v>180</v>
      </c>
      <c r="C115" s="15">
        <f>21000*4/12*0.03*0.7+(1600*0.03)+(1600*0.14)</f>
        <v>419</v>
      </c>
      <c r="D115" s="15">
        <f>J115*4/12*0.03*0.7+(1600*0.03*2)+(1600*0.14*2)+(1600*0.05)</f>
        <v>815.10000000000014</v>
      </c>
      <c r="E115" s="15">
        <f>K115*4/12*0.03*0.7+(1600*0.03*3)+(1600*0.14*3)+(1600*0.05*2)</f>
        <v>1211.2</v>
      </c>
      <c r="F115" s="15">
        <f>L115*4/12*0.03*0.7+(1600*0.03*4)+(1600*0.14*4)+(1600*0.05*3)</f>
        <v>1607.3000000000002</v>
      </c>
      <c r="G115" s="15">
        <f>M115*4/12*0.03*0.7+(1600*0.03*5)+(1600*0.14*5)+(1600*0.05*4)</f>
        <v>2003.4</v>
      </c>
      <c r="H115" s="16">
        <f>N115*4/12*0.03*0.7+(1600*0.03*6)+(1600*0.14*6)+(1600*0.05*5)</f>
        <v>2399.5</v>
      </c>
      <c r="I115" s="21">
        <f>21000*4/12*0.03+(1600*0.03)+(1600*0.14)</f>
        <v>482</v>
      </c>
      <c r="J115" s="21">
        <v>27300</v>
      </c>
      <c r="K115" s="21">
        <v>33600</v>
      </c>
      <c r="L115" s="21">
        <v>39900</v>
      </c>
      <c r="M115" s="21">
        <v>46200</v>
      </c>
      <c r="N115" s="21">
        <v>52500</v>
      </c>
    </row>
    <row r="116" spans="1:14" ht="71.25" customHeight="1" thickBot="1" x14ac:dyDescent="0.5">
      <c r="A116" s="14" t="s">
        <v>181</v>
      </c>
      <c r="B116" s="14" t="s">
        <v>182</v>
      </c>
      <c r="C116" s="15">
        <f>6800*4/12*0.03*0.7+(1600*0.03)+(1600*0.14)</f>
        <v>319.60000000000002</v>
      </c>
      <c r="D116" s="15">
        <f>J116*4/12*0.03*0.7+(1600*0.03*2)+(1600*0.14*2)+(1600*0.05)</f>
        <v>685.88000000000011</v>
      </c>
      <c r="E116" s="15">
        <f>K116*4/12*0.03*0.7+(1600*0.03*3)+(1600*0.14*3)+(1600*0.05*2)</f>
        <v>1054.96</v>
      </c>
      <c r="F116" s="15">
        <f>L116*4/12*0.03*0.7+(1600*0.03*4)+(1600*0.14*4)+(1600*0.05*3)</f>
        <v>1424.04</v>
      </c>
      <c r="G116" s="15">
        <f>M116*4/12*0.03*0.7+(1600*0.03*5)+(1600*0.14*5)+(1600*0.05*4)</f>
        <v>1793.1200000000003</v>
      </c>
      <c r="H116" s="16">
        <f>N116*4/12*0.03*0.7+(1600*0.03*6)+(1600*0.14*6)+(1600*0.05*5)</f>
        <v>2162.2000000000003</v>
      </c>
      <c r="I116" s="21">
        <f>6800*4/12*0.03+(1600*0.03)+(1600*0.14)</f>
        <v>340</v>
      </c>
      <c r="J116" s="21">
        <v>8840</v>
      </c>
      <c r="K116" s="21">
        <v>11280</v>
      </c>
      <c r="L116" s="21">
        <v>13720</v>
      </c>
      <c r="M116" s="21">
        <v>16160</v>
      </c>
      <c r="N116" s="21">
        <v>18600</v>
      </c>
    </row>
    <row r="117" spans="1:14" ht="48.75" customHeight="1" thickBot="1" x14ac:dyDescent="0.5">
      <c r="A117" s="14" t="s">
        <v>183</v>
      </c>
      <c r="B117" s="14" t="s">
        <v>184</v>
      </c>
      <c r="C117" s="15">
        <f>6800*4/12*0.03*0.7+(1600*0.03)+(1600*0.14)</f>
        <v>319.60000000000002</v>
      </c>
      <c r="D117" s="15">
        <f>J117*4/12*0.03*0.7+(1600*0.03*2)+(1600*0.14*2)+(1600*0.05)</f>
        <v>685.88000000000011</v>
      </c>
      <c r="E117" s="15">
        <f>K117*4/12*0.03*0.7+(1600*0.03*3)+(1600*0.14*3)+(1600*0.05*2)</f>
        <v>1054.96</v>
      </c>
      <c r="F117" s="15">
        <f>L117*4/12*0.03*0.7+(1600*0.03*4)+(1600*0.14*4)+(1600*0.05*3)</f>
        <v>1424.04</v>
      </c>
      <c r="G117" s="15">
        <f>M117*4/12*0.03*0.7+(1600*0.03*5)+(1600*0.14*5)+(1600*0.05*4)</f>
        <v>1793.1200000000003</v>
      </c>
      <c r="H117" s="16">
        <f>N117*4/12*0.03*0.7+(1600*0.03*6)+(1600*0.14*6)+(1600*0.05*5)</f>
        <v>2162.2000000000003</v>
      </c>
      <c r="I117" s="36">
        <f>6800*4/12*0.03+(1600*0.03)+(1600*0.14)</f>
        <v>340</v>
      </c>
      <c r="J117" s="36">
        <v>8840</v>
      </c>
      <c r="K117" s="36">
        <v>11280</v>
      </c>
      <c r="L117" s="36">
        <v>13720</v>
      </c>
      <c r="M117" s="36">
        <v>16160</v>
      </c>
      <c r="N117" s="36">
        <v>18600</v>
      </c>
    </row>
    <row r="118" spans="1:14" ht="79.5" customHeight="1" thickBot="1" x14ac:dyDescent="0.5">
      <c r="A118" s="14"/>
      <c r="B118" s="14" t="s">
        <v>185</v>
      </c>
      <c r="C118" s="15">
        <f>6800*4/12*0.03*0.7+(1600*0.03)+(1600*0.14)</f>
        <v>319.60000000000002</v>
      </c>
      <c r="D118" s="15">
        <f>J118*4/12*0.03*0.7+(1600*0.03*2)+(1600*0.14*2)+(1600*0.05)</f>
        <v>624</v>
      </c>
      <c r="E118" s="15">
        <f>K118*4/12*0.03*0.7+(1600*0.03*3)+(1600*0.14*3)+(1600*0.05*2)</f>
        <v>976.00000000000011</v>
      </c>
      <c r="F118" s="15">
        <f>L118*4/12*0.03*0.7+(1600*0.03*4)+(1600*0.14*4)+(1600*0.05*3)</f>
        <v>1328</v>
      </c>
      <c r="G118" s="15">
        <f>M118*4/12*0.03*0.7+(1600*0.03*5)+(1600*0.14*5)+(1600*0.05*4)</f>
        <v>1680.0000000000002</v>
      </c>
      <c r="H118" s="16">
        <f>N118*4/12*0.03*0.7+(1600*0.03*6)+(1600*0.14*6)+(1600*0.05*5)</f>
        <v>2032.0000000000002</v>
      </c>
      <c r="I118" s="36"/>
      <c r="J118" s="36"/>
      <c r="K118" s="36"/>
      <c r="L118" s="36"/>
      <c r="M118" s="36"/>
      <c r="N118" s="36"/>
    </row>
    <row r="119" spans="1:14" ht="95.25" customHeight="1" thickBot="1" x14ac:dyDescent="0.5">
      <c r="A119" s="14"/>
      <c r="B119" s="14" t="s">
        <v>186</v>
      </c>
      <c r="C119" s="15">
        <f>6800*4/12*0.03*0.7+(1600*0.03)+(1600*0.14)</f>
        <v>319.60000000000002</v>
      </c>
      <c r="D119" s="15">
        <f>J119*4/12*0.03*0.7+(1600*0.03*2)+(1600*0.14*2)+(1600*0.05)</f>
        <v>624</v>
      </c>
      <c r="E119" s="15">
        <f>K119*4/12*0.03*0.7+(1600*0.03*3)+(1600*0.14*3)+(1600*0.05*2)</f>
        <v>976.00000000000011</v>
      </c>
      <c r="F119" s="15">
        <f>L119*4/12*0.03*0.7+(1600*0.03*4)+(1600*0.14*4)+(1600*0.05*3)</f>
        <v>1328</v>
      </c>
      <c r="G119" s="15">
        <f>M119*4/12*0.03*0.7+(1600*0.03*5)+(1600*0.14*5)+(1600*0.05*4)</f>
        <v>1680.0000000000002</v>
      </c>
      <c r="H119" s="16">
        <f>N119*4/12*0.03*0.7+(1600*0.03*6)+(1600*0.14*6)+(1600*0.05*5)</f>
        <v>2032.0000000000002</v>
      </c>
      <c r="I119" s="36"/>
      <c r="J119" s="36"/>
      <c r="K119" s="36"/>
      <c r="L119" s="36"/>
      <c r="M119" s="36"/>
      <c r="N119" s="36"/>
    </row>
    <row r="120" spans="1:14" ht="36.85" customHeight="1" thickBot="1" x14ac:dyDescent="0.5">
      <c r="A120" s="14"/>
      <c r="B120" s="14" t="s">
        <v>187</v>
      </c>
      <c r="C120" s="15">
        <f>6800*4/12*0.03*0.7+(1600*0.03)+(1600*0.14)</f>
        <v>319.60000000000002</v>
      </c>
      <c r="D120" s="15">
        <f>J120*4/12*0.03*0.7+(1600*0.03*2)+(1600*0.14*2)+(1600*0.05)</f>
        <v>624</v>
      </c>
      <c r="E120" s="15">
        <f>K120*4/12*0.03*0.7+(1600*0.03*3)+(1600*0.14*3)+(1600*0.05*2)</f>
        <v>976.00000000000011</v>
      </c>
      <c r="F120" s="15">
        <f>L120*4/12*0.03*0.7+(1600*0.03*4)+(1600*0.14*4)+(1600*0.05*3)</f>
        <v>1328</v>
      </c>
      <c r="G120" s="15">
        <f>M120*4/12*0.03*0.7+(1600*0.03*5)+(1600*0.14*5)+(1600*0.05*4)</f>
        <v>1680.0000000000002</v>
      </c>
      <c r="H120" s="16">
        <f>N120*4/12*0.03*0.7+(1600*0.03*6)+(1600*0.14*6)+(1600*0.05*5)</f>
        <v>2032.0000000000002</v>
      </c>
      <c r="I120" s="36"/>
      <c r="J120" s="36"/>
      <c r="K120" s="36"/>
      <c r="L120" s="36"/>
      <c r="M120" s="36"/>
      <c r="N120" s="36"/>
    </row>
    <row r="121" spans="1:14" ht="71.25" customHeight="1" thickBot="1" x14ac:dyDescent="0.5">
      <c r="A121" s="14"/>
      <c r="B121" s="14" t="s">
        <v>188</v>
      </c>
      <c r="C121" s="15">
        <f>6800*4/12*0.03*0.7+(1600*0.03)+(1600*0.14)</f>
        <v>319.60000000000002</v>
      </c>
      <c r="D121" s="15">
        <f>J121*4/12*0.03*0.7+(1600*0.03*2)+(1600*0.14*2)+(1600*0.05)</f>
        <v>624</v>
      </c>
      <c r="E121" s="15">
        <f>K121*4/12*0.03*0.7+(1600*0.03*3)+(1600*0.14*3)+(1600*0.05*2)</f>
        <v>976.00000000000011</v>
      </c>
      <c r="F121" s="15">
        <f>L121*4/12*0.03*0.7+(1600*0.03*4)+(1600*0.14*4)+(1600*0.05*3)</f>
        <v>1328</v>
      </c>
      <c r="G121" s="15">
        <f>M121*4/12*0.03*0.7+(1600*0.03*5)+(1600*0.14*5)+(1600*0.05*4)</f>
        <v>1680.0000000000002</v>
      </c>
      <c r="H121" s="16">
        <f>N121*4/12*0.03*0.7+(1600*0.03*6)+(1600*0.14*6)+(1600*0.05*5)</f>
        <v>2032.0000000000002</v>
      </c>
      <c r="I121" s="36"/>
      <c r="J121" s="36"/>
      <c r="K121" s="36"/>
      <c r="L121" s="36"/>
      <c r="M121" s="36"/>
      <c r="N121" s="36"/>
    </row>
    <row r="122" spans="1:14" ht="52.5" customHeight="1" thickBot="1" x14ac:dyDescent="0.5">
      <c r="A122" s="14"/>
      <c r="B122" s="14" t="s">
        <v>189</v>
      </c>
      <c r="C122" s="15">
        <f>6800*4/12*0.03*0.7+(1600*0.03)+(1600*0.14)</f>
        <v>319.60000000000002</v>
      </c>
      <c r="D122" s="15">
        <f>J122*4/12*0.03*0.7+(1600*0.03*2)+(1600*0.14*2)+(1600*0.05)</f>
        <v>624</v>
      </c>
      <c r="E122" s="15">
        <f>K122*4/12*0.03*0.7+(1600*0.03*3)+(1600*0.14*3)+(1600*0.05*2)</f>
        <v>976.00000000000011</v>
      </c>
      <c r="F122" s="15">
        <f>L122*4/12*0.03*0.7+(1600*0.03*4)+(1600*0.14*4)+(1600*0.05*3)</f>
        <v>1328</v>
      </c>
      <c r="G122" s="15">
        <f>M122*4/12*0.03*0.7+(1600*0.03*5)+(1600*0.14*5)+(1600*0.05*4)</f>
        <v>1680.0000000000002</v>
      </c>
      <c r="H122" s="16">
        <f>N122*4/12*0.03*0.7+(1600*0.03*6)+(1600*0.14*6)+(1600*0.05*5)</f>
        <v>2032.0000000000002</v>
      </c>
      <c r="I122" s="36"/>
      <c r="J122" s="36"/>
      <c r="K122" s="36"/>
      <c r="L122" s="36"/>
      <c r="M122" s="36"/>
      <c r="N122" s="36"/>
    </row>
    <row r="123" spans="1:14" ht="67.5" customHeight="1" thickBot="1" x14ac:dyDescent="0.5">
      <c r="A123" s="14"/>
      <c r="B123" s="14" t="s">
        <v>190</v>
      </c>
      <c r="C123" s="15">
        <f>6800*4/12*0.03*0.7+(1600*0.03)+(1600*0.14)</f>
        <v>319.60000000000002</v>
      </c>
      <c r="D123" s="15">
        <f>J123*4/12*0.03*0.7+(1600*0.03*2)+(1600*0.14*2)+(1600*0.05)</f>
        <v>624</v>
      </c>
      <c r="E123" s="15">
        <f>K123*4/12*0.03*0.7+(1600*0.03*3)+(1600*0.14*3)+(1600*0.05*2)</f>
        <v>976.00000000000011</v>
      </c>
      <c r="F123" s="15">
        <f>L123*4/12*0.03*0.7+(1600*0.03*4)+(1600*0.14*4)+(1600*0.05*3)</f>
        <v>1328</v>
      </c>
      <c r="G123" s="15">
        <f>M123*4/12*0.03*0.7+(1600*0.03*5)+(1600*0.14*5)+(1600*0.05*4)</f>
        <v>1680.0000000000002</v>
      </c>
      <c r="H123" s="16">
        <f>N123*4/12*0.03*0.7+(1600*0.03*6)+(1600*0.14*6)+(1600*0.05*5)</f>
        <v>2032.0000000000002</v>
      </c>
      <c r="I123" s="36"/>
      <c r="J123" s="36"/>
      <c r="K123" s="36"/>
      <c r="L123" s="36"/>
      <c r="M123" s="36"/>
      <c r="N123" s="36"/>
    </row>
    <row r="124" spans="1:14" ht="39.75" customHeight="1" thickBot="1" x14ac:dyDescent="0.5">
      <c r="A124" s="14"/>
      <c r="B124" s="14" t="s">
        <v>191</v>
      </c>
      <c r="C124" s="15">
        <f>6800*4/12*0.03*0.7+(1600*0.03)+(1600*0.14)</f>
        <v>319.60000000000002</v>
      </c>
      <c r="D124" s="15">
        <f>J124*4/12*0.03*0.7+(1600*0.03*2)+(1600*0.14*2)+(1600*0.05)</f>
        <v>624</v>
      </c>
      <c r="E124" s="15">
        <f>K124*4/12*0.03*0.7+(1600*0.03*3)+(1600*0.14*3)+(1600*0.05*2)</f>
        <v>976.00000000000011</v>
      </c>
      <c r="F124" s="15">
        <f>L124*4/12*0.03*0.7+(1600*0.03*4)+(1600*0.14*4)+(1600*0.05*3)</f>
        <v>1328</v>
      </c>
      <c r="G124" s="15">
        <f>M124*4/12*0.03*0.7+(1600*0.03*5)+(1600*0.14*5)+(1600*0.05*4)</f>
        <v>1680.0000000000002</v>
      </c>
      <c r="H124" s="16">
        <f>N124*4/12*0.03*0.7+(1600*0.03*6)+(1600*0.14*6)+(1600*0.05*5)</f>
        <v>2032.0000000000002</v>
      </c>
      <c r="I124" s="36"/>
      <c r="J124" s="36"/>
      <c r="K124" s="36"/>
      <c r="L124" s="36"/>
      <c r="M124" s="36"/>
      <c r="N124" s="36"/>
    </row>
    <row r="125" spans="1:14" ht="63" customHeight="1" thickBot="1" x14ac:dyDescent="0.5">
      <c r="A125" s="14"/>
      <c r="B125" s="14" t="s">
        <v>192</v>
      </c>
      <c r="C125" s="15">
        <f>6800*4/12*0.03*0.7+(1600*0.03)+(1600*0.14)</f>
        <v>319.60000000000002</v>
      </c>
      <c r="D125" s="15">
        <f>J125*4/12*0.03*0.7+(1600*0.03*2)+(1600*0.14*2)+(1600*0.05)</f>
        <v>624</v>
      </c>
      <c r="E125" s="15">
        <f>K125*4/12*0.03*0.7+(1600*0.03*3)+(1600*0.14*3)+(1600*0.05*2)</f>
        <v>976.00000000000011</v>
      </c>
      <c r="F125" s="15">
        <f>L125*4/12*0.03*0.7+(1600*0.03*4)+(1600*0.14*4)+(1600*0.05*3)</f>
        <v>1328</v>
      </c>
      <c r="G125" s="15">
        <f>M125*4/12*0.03*0.7+(1600*0.03*5)+(1600*0.14*5)+(1600*0.05*4)</f>
        <v>1680.0000000000002</v>
      </c>
      <c r="H125" s="16">
        <f>N125*4/12*0.03*0.7+(1600*0.03*6)+(1600*0.14*6)+(1600*0.05*5)</f>
        <v>2032.0000000000002</v>
      </c>
      <c r="I125" s="36"/>
      <c r="J125" s="36"/>
      <c r="K125" s="36"/>
      <c r="L125" s="36"/>
      <c r="M125" s="36"/>
      <c r="N125" s="36"/>
    </row>
    <row r="126" spans="1:14" ht="36.85" customHeight="1" thickBot="1" x14ac:dyDescent="0.5">
      <c r="A126" s="14"/>
      <c r="B126" s="14"/>
      <c r="C126" s="15"/>
      <c r="D126" s="15"/>
      <c r="E126" s="15"/>
      <c r="F126" s="15"/>
      <c r="G126" s="15"/>
      <c r="H126" s="16"/>
      <c r="I126" s="36"/>
      <c r="J126" s="36"/>
      <c r="K126" s="36"/>
      <c r="L126" s="36"/>
      <c r="M126" s="36"/>
      <c r="N126" s="36"/>
    </row>
    <row r="127" spans="1:14" ht="36.85" customHeight="1" thickBot="1" x14ac:dyDescent="0.5">
      <c r="A127" s="14" t="s">
        <v>193</v>
      </c>
      <c r="B127" s="14" t="s">
        <v>194</v>
      </c>
      <c r="C127" s="15">
        <f>21000*4/12*0.03*0.7+(1600*0.03)+(1600*0.14)</f>
        <v>419</v>
      </c>
      <c r="D127" s="15">
        <f>J127*4/12*0.03*0.7+(1600*0.03*2)+(1600*0.14*2)+(1600*0.05)</f>
        <v>815.10000000000014</v>
      </c>
      <c r="E127" s="15">
        <f>K127*4/12*0.03*0.7+(1600*0.03*3)+(1600*0.14*3)+(1600*0.05*2)</f>
        <v>1211.2</v>
      </c>
      <c r="F127" s="15">
        <f>L127*4/12*0.03*0.7+(1600*0.03*4)+(1600*0.14*4)+(1600*0.05*3)</f>
        <v>1607.3000000000002</v>
      </c>
      <c r="G127" s="15">
        <f>M127*4/12*0.03*0.7+(1600*0.03*5)+(1600*0.14*5)+(1600*0.05*4)</f>
        <v>2003.4</v>
      </c>
      <c r="H127" s="16">
        <f>N127*4/12*0.03*0.7+(1600*0.03*6)+(1600*0.14*6)+(1600*0.05*5)</f>
        <v>2399.5</v>
      </c>
      <c r="I127" s="21">
        <f>21000*4/12*0.03+(1600*0.03)+(1600*0.14)</f>
        <v>482</v>
      </c>
      <c r="J127" s="21">
        <v>27300</v>
      </c>
      <c r="K127" s="21">
        <v>33600</v>
      </c>
      <c r="L127" s="21">
        <v>39900</v>
      </c>
      <c r="M127" s="21">
        <v>46200</v>
      </c>
      <c r="N127" s="21">
        <v>52500</v>
      </c>
    </row>
    <row r="128" spans="1:14" ht="36.85" customHeight="1" thickBot="1" x14ac:dyDescent="0.5">
      <c r="A128" s="14" t="s">
        <v>195</v>
      </c>
      <c r="B128" s="14" t="s">
        <v>196</v>
      </c>
      <c r="C128" s="15">
        <f>45000*4/12*0.03*0.7+(1600*0.03)+(1600*0.14)</f>
        <v>587</v>
      </c>
      <c r="D128" s="15">
        <f>J128*4/12*0.03*0.7+(1600*0.03*2)+(1600*0.14*2)+(1600*0.05)</f>
        <v>1033.5</v>
      </c>
      <c r="E128" s="15">
        <f>K128*4/12*0.03*0.7+(1600*0.03*3)+(1600*0.14*3)+(1600*0.05*2)</f>
        <v>1480</v>
      </c>
      <c r="F128" s="15">
        <f>L128*4/12*0.03*0.7+(1600*0.03*4)+(1600*0.14*4)+(1600*0.05*3)</f>
        <v>1926.5</v>
      </c>
      <c r="G128" s="15">
        <f>M128*4/12*0.03*0.7+(1600*0.03*5)+(1600*0.14*5)+(1600*0.05*4)</f>
        <v>2373</v>
      </c>
      <c r="H128" s="16">
        <f>N128*4/12*0.03*0.7+(1600*0.03*6)+(1600*0.14*6)+(1600*0.05*5)</f>
        <v>2819.5</v>
      </c>
      <c r="I128" s="21">
        <f>45000*4/12*0.03+(1600*0.03)+(1600*0.14)</f>
        <v>722</v>
      </c>
      <c r="J128" s="21">
        <v>58500</v>
      </c>
      <c r="K128" s="21">
        <v>72000</v>
      </c>
      <c r="L128" s="21">
        <v>85500</v>
      </c>
      <c r="M128" s="21">
        <v>99000</v>
      </c>
      <c r="N128" s="21">
        <v>112500</v>
      </c>
    </row>
    <row r="129" spans="1:14" ht="33.75" customHeight="1" thickBot="1" x14ac:dyDescent="0.5">
      <c r="A129" s="14"/>
      <c r="B129" s="14" t="s">
        <v>197</v>
      </c>
      <c r="C129" s="14"/>
      <c r="D129" s="14"/>
      <c r="E129" s="14"/>
      <c r="F129" s="14"/>
      <c r="G129" s="14"/>
      <c r="H129" s="23"/>
      <c r="I129" s="20"/>
      <c r="J129" s="20"/>
      <c r="K129" s="20"/>
      <c r="L129" s="20"/>
      <c r="M129" s="20"/>
      <c r="N129" s="20"/>
    </row>
    <row r="130" spans="1:14" ht="94.5" hidden="1" customHeight="1" thickBot="1" x14ac:dyDescent="0.5">
      <c r="A130" s="6"/>
      <c r="B130" s="6"/>
      <c r="C130" s="6"/>
      <c r="D130" s="6"/>
      <c r="E130" s="6"/>
      <c r="F130" s="6"/>
      <c r="G130" s="6"/>
      <c r="H130" s="7"/>
      <c r="I130" s="9"/>
      <c r="J130" s="9"/>
      <c r="K130" s="9"/>
      <c r="L130" s="9"/>
      <c r="M130" s="9"/>
      <c r="N130" s="9"/>
    </row>
    <row r="131" spans="1:14" ht="159" customHeight="1" thickBot="1" x14ac:dyDescent="0.5">
      <c r="A131" s="6"/>
      <c r="B131" s="2" t="s">
        <v>198</v>
      </c>
      <c r="C131" s="2"/>
      <c r="D131" s="2"/>
      <c r="E131" s="2"/>
      <c r="F131" s="2"/>
      <c r="G131" s="2"/>
      <c r="H131" s="1"/>
      <c r="I131" s="9"/>
      <c r="J131" s="9"/>
      <c r="K131" s="9"/>
      <c r="L131" s="9"/>
      <c r="M131" s="9"/>
      <c r="N131" s="9"/>
    </row>
    <row r="132" spans="1:14" ht="78" customHeight="1" thickBot="1" x14ac:dyDescent="0.5">
      <c r="A132" s="5"/>
      <c r="B132" s="5" t="s">
        <v>199</v>
      </c>
      <c r="C132" s="5"/>
      <c r="D132" s="5"/>
      <c r="E132" s="5"/>
      <c r="F132" s="5"/>
      <c r="G132" s="5"/>
      <c r="H132" s="8"/>
      <c r="I132" s="9"/>
      <c r="J132" s="9"/>
      <c r="K132" s="9"/>
      <c r="L132" s="9"/>
      <c r="M132" s="9"/>
      <c r="N132" s="9"/>
    </row>
    <row r="133" spans="1:14" ht="97.5" customHeight="1" x14ac:dyDescent="0.45">
      <c r="A133" s="5"/>
      <c r="B133" s="5" t="s">
        <v>200</v>
      </c>
      <c r="C133" s="5"/>
      <c r="D133" s="5"/>
      <c r="E133" s="5"/>
      <c r="F133" s="5"/>
      <c r="G133" s="5"/>
      <c r="H133" s="8"/>
      <c r="I133" s="9"/>
      <c r="J133" s="9"/>
      <c r="K133" s="9"/>
      <c r="L133" s="9"/>
      <c r="M133" s="9"/>
      <c r="N133" s="9"/>
    </row>
    <row r="134" spans="1:14" ht="105.85" customHeight="1" thickBot="1" x14ac:dyDescent="0.5">
      <c r="A134" s="6"/>
      <c r="B134" s="2" t="s">
        <v>201</v>
      </c>
      <c r="C134" s="2"/>
      <c r="D134" s="2"/>
      <c r="E134" s="2"/>
      <c r="F134" s="2"/>
      <c r="G134" s="2"/>
      <c r="H134" s="1"/>
      <c r="I134" s="9"/>
      <c r="J134" s="9"/>
      <c r="K134" s="9"/>
      <c r="L134" s="9"/>
      <c r="M134" s="9"/>
      <c r="N134" s="9"/>
    </row>
    <row r="135" spans="1:14" ht="105.85" customHeight="1" thickBot="1" x14ac:dyDescent="0.5">
      <c r="A135" s="6"/>
      <c r="B135" s="2" t="s">
        <v>202</v>
      </c>
      <c r="C135" s="2"/>
      <c r="D135" s="2"/>
      <c r="E135" s="2"/>
      <c r="F135" s="2"/>
      <c r="G135" s="2"/>
      <c r="H135" s="1"/>
      <c r="I135" s="9"/>
      <c r="J135" s="9"/>
      <c r="K135" s="9"/>
      <c r="L135" s="9"/>
      <c r="M135" s="9"/>
      <c r="N135" s="9"/>
    </row>
    <row r="136" spans="1:14" ht="105.85" customHeight="1" thickBot="1" x14ac:dyDescent="0.5">
      <c r="A136" s="6"/>
      <c r="B136" s="2" t="s">
        <v>203</v>
      </c>
      <c r="C136" s="2"/>
      <c r="D136" s="2"/>
      <c r="E136" s="2"/>
      <c r="F136" s="2"/>
      <c r="G136" s="2"/>
      <c r="H136" s="1"/>
      <c r="I136" s="9"/>
      <c r="J136" s="9"/>
      <c r="K136" s="9"/>
      <c r="L136" s="9"/>
      <c r="M136" s="9"/>
      <c r="N136" s="9"/>
    </row>
    <row r="137" spans="1:14" ht="105.85" customHeight="1" x14ac:dyDescent="0.45">
      <c r="A137" s="5"/>
      <c r="B137" s="5" t="s">
        <v>204</v>
      </c>
      <c r="C137" s="5"/>
      <c r="D137" s="5"/>
      <c r="E137" s="5"/>
      <c r="F137" s="5"/>
      <c r="G137" s="5"/>
      <c r="H137" s="8"/>
      <c r="I137" s="9"/>
      <c r="J137" s="9"/>
      <c r="K137" s="9"/>
      <c r="L137" s="9"/>
      <c r="M137" s="9"/>
      <c r="N137" s="9"/>
    </row>
    <row r="138" spans="1:14" ht="105.85" customHeight="1" thickBot="1" x14ac:dyDescent="0.5">
      <c r="A138" s="6"/>
      <c r="B138" s="6"/>
      <c r="C138" s="6"/>
      <c r="D138" s="6"/>
      <c r="E138" s="6"/>
      <c r="F138" s="6"/>
      <c r="G138" s="6"/>
      <c r="H138" s="7"/>
      <c r="I138" s="9"/>
      <c r="J138" s="9"/>
      <c r="K138" s="9"/>
      <c r="L138" s="9"/>
      <c r="M138" s="9"/>
      <c r="N138" s="9"/>
    </row>
    <row r="139" spans="1:14" ht="105.85" customHeight="1" thickBot="1" x14ac:dyDescent="0.5">
      <c r="A139" s="6"/>
      <c r="B139" s="2" t="s">
        <v>205</v>
      </c>
      <c r="C139" s="2"/>
      <c r="D139" s="2"/>
      <c r="E139" s="2"/>
      <c r="F139" s="2"/>
      <c r="G139" s="2"/>
      <c r="H139" s="1"/>
      <c r="I139" s="9"/>
      <c r="J139" s="9"/>
      <c r="K139" s="9"/>
      <c r="L139" s="9"/>
      <c r="M139" s="9"/>
      <c r="N139" s="9"/>
    </row>
    <row r="140" spans="1:14" ht="105.85" customHeight="1" thickBot="1" x14ac:dyDescent="0.5">
      <c r="A140" s="6"/>
      <c r="B140" s="2" t="s">
        <v>206</v>
      </c>
      <c r="C140" s="2"/>
      <c r="D140" s="2"/>
      <c r="E140" s="2"/>
      <c r="F140" s="2"/>
      <c r="G140" s="2"/>
      <c r="H140" s="1"/>
      <c r="I140" s="9"/>
      <c r="J140" s="9"/>
      <c r="K140" s="9"/>
      <c r="L140" s="9"/>
      <c r="M140" s="9"/>
      <c r="N140" s="9"/>
    </row>
  </sheetData>
  <sheetProtection formatCells="0" formatColumns="0" formatRows="0" insertColumns="0" insertHyperlinks="0" deleteColumns="0" deleteRows="0" sort="0" autoFilter="0" pivotTables="0"/>
  <mergeCells count="12">
    <mergeCell ref="I15:N15"/>
    <mergeCell ref="I117:I126"/>
    <mergeCell ref="J117:J126"/>
    <mergeCell ref="K117:K126"/>
    <mergeCell ref="L117:L126"/>
    <mergeCell ref="M117:M126"/>
    <mergeCell ref="N117:N126"/>
    <mergeCell ref="C1:H1"/>
    <mergeCell ref="C2:H2"/>
    <mergeCell ref="D3:H3"/>
    <mergeCell ref="C15:H15"/>
    <mergeCell ref="B2:B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25" x14ac:dyDescent="0.4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2019-03-22T11:26:06Z</dcterms:modified>
</cp:coreProperties>
</file>